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7.xml" ContentType="application/vnd.openxmlformats-officedocument.drawing+xml"/>
  <Override PartName="/xl/comments2.xml" ContentType="application/vnd.openxmlformats-officedocument.spreadsheetml.comments+xml"/>
  <Override PartName="/xl/drawings/drawing1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9.xml" ContentType="application/vnd.openxmlformats-officedocument.drawing+xml"/>
  <Override PartName="/xl/comments3.xml" ContentType="application/vnd.openxmlformats-officedocument.spreadsheetml.comments+xml"/>
  <Override PartName="/xl/drawings/drawing2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xml"/>
  <Override PartName="/xl/comments4.xml" ContentType="application/vnd.openxmlformats-officedocument.spreadsheetml.comments+xml"/>
  <Override PartName="/xl/drawings/drawing2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0.xml" ContentType="application/vnd.openxmlformats-officedocument.drawing+xml"/>
  <Override PartName="/xl/comments5.xml" ContentType="application/vnd.openxmlformats-officedocument.spreadsheetml.comments+xml"/>
  <Override PartName="/xl/drawings/drawing3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4.xml" ContentType="application/vnd.openxmlformats-officedocument.drawing+xml"/>
  <Override PartName="/xl/comments6.xml" ContentType="application/vnd.openxmlformats-officedocument.spreadsheetml.comments+xml"/>
  <Override PartName="/xl/drawings/drawing3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6.xml" ContentType="application/vnd.openxmlformats-officedocument.drawing+xml"/>
  <Override PartName="/xl/comments7.xml" ContentType="application/vnd.openxmlformats-officedocument.spreadsheetml.comments+xml"/>
  <Override PartName="/xl/drawings/drawing3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289728H\Dropbox\SBEnrc ADMIN\Admin\Dani\"/>
    </mc:Choice>
  </mc:AlternateContent>
  <xr:revisionPtr revIDLastSave="0" documentId="8_{FF564BBA-AC16-40E5-B09F-5008CF9FAAE4}" xr6:coauthVersionLast="47" xr6:coauthVersionMax="47" xr10:uidLastSave="{00000000-0000-0000-0000-000000000000}"/>
  <bookViews>
    <workbookView xWindow="-120" yWindow="-120" windowWidth="29040" windowHeight="15840" firstSheet="33" activeTab="37" xr2:uid="{C5F20BE5-C978-4CDD-9639-162C16AED2C5}"/>
  </bookViews>
  <sheets>
    <sheet name="Header" sheetId="74" r:id="rId1"/>
    <sheet name="Acknowledgements" sheetId="73" r:id="rId2"/>
    <sheet name="Tool Intro" sheetId="20" r:id="rId3"/>
    <sheet name="DOMAIN WORKSHEETS" sheetId="46" r:id="rId4"/>
    <sheet name="D1 Community Worksheet" sheetId="1" r:id="rId5"/>
    <sheet name="D2 Community Dashboard" sheetId="65" r:id="rId6"/>
    <sheet name="D2 Economy Worksheet" sheetId="2" r:id="rId7"/>
    <sheet name=" D2 Economy Dashboard" sheetId="34" r:id="rId8"/>
    <sheet name="D3 Education Worksheet" sheetId="4" r:id="rId9"/>
    <sheet name="D3 Education Dashboard" sheetId="35" r:id="rId10"/>
    <sheet name="D4 Employment Worksheet" sheetId="5" r:id="rId11"/>
    <sheet name="D4 Employment Dashboard" sheetId="36" r:id="rId12"/>
    <sheet name="D5 Environment Worksheet" sheetId="11" r:id="rId13"/>
    <sheet name=" D5 Environment Dashboard" sheetId="37" r:id="rId14"/>
    <sheet name="D6 Health Wellbeing Worksheet" sheetId="12" r:id="rId15"/>
    <sheet name="D6 Health Wellbeing Dashboard" sheetId="38" r:id="rId16"/>
    <sheet name="D7 Housing Worksheet" sheetId="13" r:id="rId17"/>
    <sheet name="D7 Housing Dashboard" sheetId="39" r:id="rId18"/>
    <sheet name="D8 Social Engagement Worksheet " sheetId="14" r:id="rId19"/>
    <sheet name="D8 Social Engagement Dashboard" sheetId="40" r:id="rId20"/>
    <sheet name="D9 Urban Amenity Worksheet" sheetId="15" r:id="rId21"/>
    <sheet name="D9 Urban Amenity Dashboard" sheetId="41" r:id="rId22"/>
    <sheet name="CONTEXT WORKSHEETS" sheetId="54" r:id="rId23"/>
    <sheet name="Narratives" sheetId="18" r:id="rId24"/>
    <sheet name="Narratives Dashboard" sheetId="66" r:id="rId25"/>
    <sheet name="Network engagement" sheetId="19" r:id="rId26"/>
    <sheet name="Network dashboard" sheetId="67" r:id="rId27"/>
    <sheet name="Innovation" sheetId="29" r:id="rId28"/>
    <sheet name="Innovation Dashboard" sheetId="68" r:id="rId29"/>
    <sheet name="FUNDING SCENARIO" sheetId="45" r:id="rId30"/>
    <sheet name="Funding Dashboard" sheetId="58" r:id="rId31"/>
    <sheet name="C1 Built Form" sheetId="56" r:id="rId32"/>
    <sheet name="Built form dashboard" sheetId="69" r:id="rId33"/>
    <sheet name="C2 Household" sheetId="57" r:id="rId34"/>
    <sheet name="Household dashboard" sheetId="70" r:id="rId35"/>
    <sheet name="C3 Connections" sheetId="55" r:id="rId36"/>
    <sheet name="Connections dashboard" sheetId="71" r:id="rId37"/>
    <sheet name="C4 Interactions" sheetId="60" r:id="rId38"/>
    <sheet name="Interactions Dashboard" sheetId="72" r:id="rId39"/>
  </sheets>
  <definedNames>
    <definedName name="_ftn1" localSheetId="8">'D3 Education Worksheet'!#REF!</definedName>
    <definedName name="_ftnref1" localSheetId="8">'D3 Education Worksheet'!#REF!</definedName>
    <definedName name="_xlnm.Print_Area" localSheetId="25">'Network engagement'!$A$1:$E$16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4" l="1"/>
  <c r="G39" i="60"/>
  <c r="G54" i="60" s="1"/>
  <c r="D7" i="58" s="1"/>
  <c r="G26" i="55"/>
  <c r="E37" i="57"/>
  <c r="B3" i="70" s="1"/>
  <c r="D3" i="68"/>
  <c r="C3" i="68"/>
  <c r="B3" i="68"/>
  <c r="D3" i="66"/>
  <c r="C3" i="66"/>
  <c r="B3" i="66"/>
  <c r="F24" i="29"/>
  <c r="E24" i="29"/>
  <c r="D24" i="29"/>
  <c r="F35" i="19"/>
  <c r="D3" i="67" s="1"/>
  <c r="E35" i="19"/>
  <c r="C3" i="67" s="1"/>
  <c r="D35" i="19"/>
  <c r="B3" i="67" s="1"/>
  <c r="F22" i="18"/>
  <c r="E22" i="18"/>
  <c r="D22" i="18"/>
  <c r="G33" i="55"/>
  <c r="F27" i="15"/>
  <c r="F25" i="15"/>
  <c r="G31" i="57"/>
  <c r="E42" i="60"/>
  <c r="F50" i="14"/>
  <c r="F46" i="14"/>
  <c r="F42" i="14"/>
  <c r="F41" i="14"/>
  <c r="F39" i="14"/>
  <c r="D23" i="14"/>
  <c r="D33" i="14" s="1"/>
  <c r="B3" i="40" s="1"/>
  <c r="F21" i="14"/>
  <c r="F20" i="14"/>
  <c r="F19" i="14"/>
  <c r="F15" i="14"/>
  <c r="F13" i="14"/>
  <c r="E36" i="60"/>
  <c r="F27" i="4"/>
  <c r="D16" i="13"/>
  <c r="D14" i="13"/>
  <c r="D34" i="13" s="1"/>
  <c r="B3" i="39" s="1"/>
  <c r="D20" i="12"/>
  <c r="F35" i="12"/>
  <c r="G28" i="57"/>
  <c r="D5" i="58" s="1"/>
  <c r="E33" i="12"/>
  <c r="E39" i="12" s="1"/>
  <c r="C4" i="38" s="1"/>
  <c r="F32" i="12"/>
  <c r="D27" i="12"/>
  <c r="F46" i="15"/>
  <c r="D4" i="41" s="1"/>
  <c r="E46" i="15"/>
  <c r="C4" i="41" s="1"/>
  <c r="D46" i="15"/>
  <c r="B4" i="41" s="1"/>
  <c r="E28" i="15"/>
  <c r="C3" i="41" s="1"/>
  <c r="D28" i="15"/>
  <c r="B3" i="41" s="1"/>
  <c r="E51" i="14"/>
  <c r="C4" i="40" s="1"/>
  <c r="D51" i="14"/>
  <c r="B4" i="40" s="1"/>
  <c r="E33" i="14"/>
  <c r="C3" i="40" s="1"/>
  <c r="F54" i="13"/>
  <c r="D4" i="39" s="1"/>
  <c r="E54" i="13"/>
  <c r="C4" i="39" s="1"/>
  <c r="D54" i="13"/>
  <c r="B4" i="39" s="1"/>
  <c r="F34" i="13"/>
  <c r="D3" i="39" s="1"/>
  <c r="E34" i="13"/>
  <c r="C3" i="39" s="1"/>
  <c r="D39" i="12"/>
  <c r="B4" i="38" s="1"/>
  <c r="D26" i="1"/>
  <c r="B3" i="65" s="1"/>
  <c r="E22" i="5"/>
  <c r="C3" i="36" s="1"/>
  <c r="D22" i="5"/>
  <c r="B3" i="36" s="1"/>
  <c r="F30" i="11"/>
  <c r="D3" i="37" s="1"/>
  <c r="E30" i="11"/>
  <c r="C3" i="37" s="1"/>
  <c r="D30" i="11"/>
  <c r="B3" i="37" s="1"/>
  <c r="F28" i="12"/>
  <c r="D3" i="38" s="1"/>
  <c r="E28" i="12"/>
  <c r="C3" i="38" s="1"/>
  <c r="F14" i="5"/>
  <c r="F22" i="5" s="1"/>
  <c r="D3" i="36" s="1"/>
  <c r="F27" i="60"/>
  <c r="F20" i="57"/>
  <c r="B5" i="58" s="1"/>
  <c r="G18" i="56"/>
  <c r="G49" i="56" s="1"/>
  <c r="D4" i="58" s="1"/>
  <c r="F17" i="57"/>
  <c r="F37" i="57" s="1"/>
  <c r="C3" i="70" s="1"/>
  <c r="E37" i="2"/>
  <c r="E51" i="2" s="1"/>
  <c r="C4" i="34" s="1"/>
  <c r="F22" i="1"/>
  <c r="F21" i="1"/>
  <c r="F20" i="1"/>
  <c r="F16" i="1"/>
  <c r="G15" i="55"/>
  <c r="G14" i="55"/>
  <c r="F37" i="55"/>
  <c r="C6" i="58" s="1"/>
  <c r="E37" i="55"/>
  <c r="B6" i="58" s="1"/>
  <c r="F49" i="56"/>
  <c r="C4" i="58" s="1"/>
  <c r="E49" i="56"/>
  <c r="B4" i="58" s="1"/>
  <c r="D42" i="4"/>
  <c r="D43" i="4" s="1"/>
  <c r="B4" i="35" s="1"/>
  <c r="E40" i="4"/>
  <c r="E32" i="4"/>
  <c r="F23" i="4"/>
  <c r="E20" i="4"/>
  <c r="E28" i="4" s="1"/>
  <c r="C3" i="35" s="1"/>
  <c r="F19" i="4"/>
  <c r="F17" i="4"/>
  <c r="F43" i="4"/>
  <c r="D4" i="35" s="1"/>
  <c r="D28" i="4"/>
  <c r="B3" i="35" s="1"/>
  <c r="F43" i="2"/>
  <c r="F38" i="2"/>
  <c r="F74" i="2"/>
  <c r="D6" i="34" s="1"/>
  <c r="E74" i="2"/>
  <c r="C6" i="34" s="1"/>
  <c r="D74" i="2"/>
  <c r="B6" i="34" s="1"/>
  <c r="F61" i="2"/>
  <c r="D5" i="34" s="1"/>
  <c r="E61" i="2"/>
  <c r="C5" i="34" s="1"/>
  <c r="D61" i="2"/>
  <c r="B5" i="34" s="1"/>
  <c r="D51" i="2"/>
  <c r="B4" i="34" s="1"/>
  <c r="F33" i="2"/>
  <c r="D3" i="34" s="1"/>
  <c r="E33" i="2"/>
  <c r="C3" i="34" s="1"/>
  <c r="D33" i="2"/>
  <c r="B3" i="34" s="1"/>
  <c r="F51" i="14" l="1"/>
  <c r="D4" i="40" s="1"/>
  <c r="B3" i="69"/>
  <c r="G37" i="57"/>
  <c r="D3" i="70" s="1"/>
  <c r="C3" i="69"/>
  <c r="D3" i="69"/>
  <c r="B3" i="71"/>
  <c r="C3" i="71"/>
  <c r="D3" i="72"/>
  <c r="F51" i="2"/>
  <c r="D4" i="34" s="1"/>
  <c r="F28" i="15"/>
  <c r="D3" i="41" s="1"/>
  <c r="E54" i="60"/>
  <c r="F33" i="14"/>
  <c r="D3" i="40" s="1"/>
  <c r="F54" i="60"/>
  <c r="D28" i="12"/>
  <c r="B3" i="38" s="1"/>
  <c r="F39" i="12"/>
  <c r="D4" i="38" s="1"/>
  <c r="C5" i="58"/>
  <c r="G37" i="55"/>
  <c r="F26" i="1"/>
  <c r="D3" i="65" s="1"/>
  <c r="E26" i="1"/>
  <c r="C3" i="65" s="1"/>
  <c r="E43" i="4"/>
  <c r="C4" i="35" s="1"/>
  <c r="F28" i="4"/>
  <c r="D3" i="35" s="1"/>
  <c r="D6" i="58" l="1"/>
  <c r="D3" i="71"/>
  <c r="C7" i="58"/>
  <c r="C3" i="72"/>
  <c r="B7" i="58"/>
  <c r="B3"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L18" authorId="0" shapeId="0" xr:uid="{7E8155CA-F478-104C-95AA-22B636EFA0FF}">
      <text>
        <r>
          <rPr>
            <b/>
            <sz val="10"/>
            <color rgb="FF000000"/>
            <rFont val="Tahoma"/>
            <family val="2"/>
          </rPr>
          <t>Margaret McNally:</t>
        </r>
        <r>
          <rPr>
            <sz val="10"/>
            <color rgb="FF000000"/>
            <rFont val="Tahoma"/>
            <family val="2"/>
          </rPr>
          <t xml:space="preserve">
</t>
        </r>
        <r>
          <rPr>
            <sz val="10"/>
            <color rgb="FF000000"/>
            <rFont val="Tahoma"/>
            <family val="2"/>
          </rPr>
          <t>year for Fujiwara?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H21" authorId="0" shapeId="0" xr:uid="{BDE54C53-6C28-7442-A496-9B83F28A529E}">
      <text>
        <r>
          <rPr>
            <b/>
            <sz val="10"/>
            <color rgb="FF000000"/>
            <rFont val="Tahoma"/>
            <family val="2"/>
          </rPr>
          <t>Margaret McNally:</t>
        </r>
        <r>
          <rPr>
            <sz val="10"/>
            <color rgb="FF000000"/>
            <rFont val="Tahoma"/>
            <family val="2"/>
          </rPr>
          <t xml:space="preserve">
</t>
        </r>
        <r>
          <rPr>
            <sz val="10"/>
            <color rgb="FF000000"/>
            <rFont val="Tahoma"/>
            <family val="2"/>
          </rPr>
          <t>Red text: is this meant to simply be (2019)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H24" authorId="0" shapeId="0" xr:uid="{4DC0F83B-5EEF-2D47-BC8D-EE044600F52D}">
      <text>
        <r>
          <rPr>
            <b/>
            <sz val="10"/>
            <color rgb="FF000000"/>
            <rFont val="Tahoma"/>
            <family val="2"/>
          </rPr>
          <t>Margaret McNally:</t>
        </r>
        <r>
          <rPr>
            <sz val="10"/>
            <color rgb="FF000000"/>
            <rFont val="Tahoma"/>
            <family val="2"/>
          </rPr>
          <t xml:space="preserve">
</t>
        </r>
        <r>
          <rPr>
            <sz val="10"/>
            <color rgb="FF000000"/>
            <rFont val="Tahoma"/>
            <family val="2"/>
          </rPr>
          <t>Insert GVE in full in legend at bottom of spreadsheet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J21" authorId="0" shapeId="0" xr:uid="{DBCCAA73-B63F-3B4B-886F-CD37758D2AD7}">
      <text>
        <r>
          <rPr>
            <b/>
            <sz val="10"/>
            <color rgb="FF000000"/>
            <rFont val="Tahoma"/>
            <family val="2"/>
          </rPr>
          <t>Margaret McNally:</t>
        </r>
        <r>
          <rPr>
            <sz val="10"/>
            <color rgb="FF000000"/>
            <rFont val="Tahoma"/>
            <family val="2"/>
          </rPr>
          <t xml:space="preserve">
</t>
        </r>
        <r>
          <rPr>
            <sz val="10"/>
            <color rgb="FF000000"/>
            <rFont val="Tahoma"/>
            <family val="2"/>
          </rPr>
          <t>Question mark intended?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B1" authorId="0" shapeId="0" xr:uid="{7D4BFA5C-9023-2F4B-8D49-7AD562A654D2}">
      <text>
        <r>
          <rPr>
            <b/>
            <sz val="10"/>
            <color rgb="FF000000"/>
            <rFont val="Tahoma"/>
            <family val="2"/>
          </rPr>
          <t>Margaret McNally:</t>
        </r>
        <r>
          <rPr>
            <sz val="10"/>
            <color rgb="FF000000"/>
            <rFont val="Tahoma"/>
            <family val="2"/>
          </rPr>
          <t xml:space="preserve">
</t>
        </r>
        <r>
          <rPr>
            <sz val="10"/>
            <color rgb="FF000000"/>
            <rFont val="Tahoma"/>
            <family val="2"/>
          </rPr>
          <t xml:space="preserve">First column:
</t>
        </r>
        <r>
          <rPr>
            <sz val="10"/>
            <color rgb="FF000000"/>
            <rFont val="Tahoma"/>
            <family val="2"/>
          </rPr>
          <t xml:space="preserve">Community and culture
</t>
        </r>
        <r>
          <rPr>
            <sz val="10"/>
            <color rgb="FF000000"/>
            <rFont val="Tahoma"/>
            <family val="2"/>
          </rPr>
          <t xml:space="preserve">Health and wellbeing
</t>
        </r>
        <r>
          <rPr>
            <sz val="10"/>
            <color rgb="FF000000"/>
            <rFont val="Tahoma"/>
            <family val="2"/>
          </rPr>
          <t xml:space="preserve">Second column: remove all full-stops
</t>
        </r>
        <r>
          <rPr>
            <sz val="10"/>
            <color rgb="FF000000"/>
            <rFont val="Tahoma"/>
            <family val="2"/>
          </rPr>
          <t xml:space="preserve">DEVELOP SCENARIO-SPECIFIC TOOL
</t>
        </r>
        <r>
          <rPr>
            <sz val="10"/>
            <color rgb="FF000000"/>
            <rFont val="Tahoma"/>
            <family val="2"/>
          </rPr>
          <t xml:space="preserve">Add program/project-specific indicators
</t>
        </r>
        <r>
          <rPr>
            <sz val="10"/>
            <color rgb="FF000000"/>
            <rFont val="Tahoma"/>
            <family val="2"/>
          </rPr>
          <t xml:space="preserve">STEP 2 </t>
        </r>
        <r>
          <rPr>
            <sz val="10"/>
            <color rgb="FF000000"/>
            <rFont val="Calibri"/>
            <family val="2"/>
            <scheme val="minor"/>
          </rPr>
          <t>– INPUT</t>
        </r>
        <r>
          <rPr>
            <sz val="10"/>
            <color rgb="FF000000"/>
            <rFont val="Calibri"/>
            <family val="2"/>
            <scheme val="minor"/>
          </rPr>
          <t xml:space="preserve"> DATA AND INFORMATION (typo in Infomation)
</t>
        </r>
        <r>
          <rPr>
            <sz val="10"/>
            <color rgb="FF000000"/>
            <rFont val="Calibri"/>
            <family val="2"/>
            <scheme val="minor"/>
          </rPr>
          <t xml:space="preserve">Under step 3:
</t>
        </r>
        <r>
          <rPr>
            <sz val="10"/>
            <color rgb="FF000000"/>
            <rFont val="Calibri"/>
            <family val="2"/>
            <scheme val="minor"/>
          </rPr>
          <t xml:space="preserve">decision-making
</t>
        </r>
        <r>
          <rPr>
            <sz val="10"/>
            <color rgb="FF000000"/>
            <rFont val="Calibri"/>
            <family val="2"/>
            <scheme val="minor"/>
          </rPr>
          <t xml:space="preserve">Column 3:
</t>
        </r>
        <r>
          <rPr>
            <sz val="10"/>
            <color rgb="FF000000"/>
            <rFont val="Calibri"/>
            <family val="2"/>
            <scheme val="minor"/>
          </rPr>
          <t xml:space="preserve">Program/project-specific indicators
</t>
        </r>
        <r>
          <rPr>
            <sz val="10"/>
            <color rgb="FF000000"/>
            <rFont val="Calibri"/>
            <family val="2"/>
            <scheme val="minor"/>
          </rPr>
          <t xml:space="preserve">
</t>
        </r>
        <r>
          <rPr>
            <sz val="10"/>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I22" authorId="0" shapeId="0" xr:uid="{FE59E67C-FEB7-4D42-8810-5E5C0C90BE9B}">
      <text>
        <r>
          <rPr>
            <b/>
            <sz val="10"/>
            <color rgb="FF000000"/>
            <rFont val="Tahoma"/>
            <family val="2"/>
          </rPr>
          <t>Margaret McNally:</t>
        </r>
        <r>
          <rPr>
            <sz val="10"/>
            <color rgb="FF000000"/>
            <rFont val="Tahoma"/>
            <family val="2"/>
          </rPr>
          <t xml:space="preserve">
</t>
        </r>
        <r>
          <rPr>
            <sz val="10"/>
            <color rgb="FF000000"/>
            <rFont val="Tahoma"/>
            <family val="2"/>
          </rPr>
          <t>Should ASVB include 'Value Calculator'?</t>
        </r>
      </text>
    </comment>
    <comment ref="B26" authorId="0" shapeId="0" xr:uid="{42AE36EF-5828-2A4D-AB47-7C78BDD6E5FC}">
      <text>
        <r>
          <rPr>
            <b/>
            <sz val="10"/>
            <color rgb="FF000000"/>
            <rFont val="Tahoma"/>
            <family val="2"/>
          </rPr>
          <t>Margaret McNally:</t>
        </r>
        <r>
          <rPr>
            <sz val="10"/>
            <color rgb="FF000000"/>
            <rFont val="Tahoma"/>
            <family val="2"/>
          </rPr>
          <t xml:space="preserve">
</t>
        </r>
        <r>
          <rPr>
            <sz val="10"/>
            <color rgb="FF000000"/>
            <rFont val="Tahoma"/>
            <family val="2"/>
          </rPr>
          <t>Statement appears incomplete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Margaret McNally</author>
  </authors>
  <commentList>
    <comment ref="B24" authorId="0" shapeId="0" xr:uid="{39EC5AE9-FD98-294B-8D67-D41A9648E53C}">
      <text>
        <r>
          <rPr>
            <b/>
            <sz val="10"/>
            <color rgb="FF000000"/>
            <rFont val="Tahoma"/>
            <family val="2"/>
          </rPr>
          <t>Margaret McNally:</t>
        </r>
        <r>
          <rPr>
            <sz val="10"/>
            <color rgb="FF000000"/>
            <rFont val="Tahoma"/>
            <family val="2"/>
          </rPr>
          <t xml:space="preserve">
</t>
        </r>
        <r>
          <rPr>
            <sz val="10"/>
            <color rgb="FF000000"/>
            <rFont val="Tahoma"/>
            <family val="2"/>
          </rPr>
          <t>Statement appears incomplete</t>
        </r>
      </text>
    </comment>
  </commentList>
</comments>
</file>

<file path=xl/sharedStrings.xml><?xml version="1.0" encoding="utf-8"?>
<sst xmlns="http://schemas.openxmlformats.org/spreadsheetml/2006/main" count="2941" uniqueCount="1211">
  <si>
    <t>Via ROI</t>
  </si>
  <si>
    <t>Numbers of issues, complaints and responses</t>
  </si>
  <si>
    <t>Number of acquaintances</t>
  </si>
  <si>
    <t>People drinking in public spaces in the neighbourhood</t>
  </si>
  <si>
    <t>Police records</t>
  </si>
  <si>
    <t>People bothering others or insulting others as they move around the neighbourhood</t>
  </si>
  <si>
    <t xml:space="preserve">People using drugs </t>
  </si>
  <si>
    <t>http://www.aihw.gov.au/indigenous-data/health-performance-framework/ Measure 2.08 Income</t>
  </si>
  <si>
    <t>Creation of construction-related jobs</t>
  </si>
  <si>
    <t>Reduced financial stress</t>
  </si>
  <si>
    <t>Going without meals for financial reasons</t>
  </si>
  <si>
    <t>ABS</t>
  </si>
  <si>
    <t>ABS, Urban Growth Monitor (WAPC)</t>
  </si>
  <si>
    <t> Local procurement</t>
  </si>
  <si>
    <t>Proportion of local procurement</t>
  </si>
  <si>
    <t>Increased participation</t>
  </si>
  <si>
    <t>£690 (Fujiwara, 2013) p. 32</t>
  </si>
  <si>
    <t>£690 (Fujiwara, 2013) p.32</t>
  </si>
  <si>
    <t>Learning that helped people to be able to help their children with school</t>
  </si>
  <si>
    <t xml:space="preserve">Enhanced educational performance </t>
  </si>
  <si>
    <t>As above</t>
  </si>
  <si>
    <t>Higher education success rate (all jurisdictions by sex)</t>
  </si>
  <si>
    <t>Improved earning potential</t>
  </si>
  <si>
    <t>Increased participation in employment</t>
  </si>
  <si>
    <t>Inter-regional mobility</t>
  </si>
  <si>
    <t>Number of moves for social housing tenants compared to private rental and ownership market</t>
  </si>
  <si>
    <t xml:space="preserve">Indoor lighting quality </t>
  </si>
  <si>
    <t>Indoor air quality</t>
  </si>
  <si>
    <t>Site selection, planning and context analysis</t>
  </si>
  <si>
    <t>Site sensitivity</t>
  </si>
  <si>
    <t>Local authorities</t>
  </si>
  <si>
    <t>Level of satisfaction with neighbourhood (mental health)</t>
  </si>
  <si>
    <t>Treated prevalence rates for mental illness</t>
  </si>
  <si>
    <t>Reduction in annual spend on health services</t>
  </si>
  <si>
    <t>Reduced demand for health services for</t>
  </si>
  <si>
    <t xml:space="preserve">Improved medical access </t>
  </si>
  <si>
    <t>People deferring recommended treatment due to financial barriers</t>
  </si>
  <si>
    <t xml:space="preserve">Relief from health problems </t>
  </si>
  <si>
    <t>Reduction in evictions</t>
  </si>
  <si>
    <t>Appropriate targeting of housing and assistance</t>
  </si>
  <si>
    <t>Number/ proportion of successful exits</t>
  </si>
  <si>
    <t>Mobility between affordable options – pathways out of subsidised housing</t>
  </si>
  <si>
    <t>Degree of flexibility in assets over time</t>
  </si>
  <si>
    <t>Appropriate dwelling provision</t>
  </si>
  <si>
    <t>Maintenance expenditure per social housing dwelling</t>
  </si>
  <si>
    <t>Maintenance wait times, responsiveness</t>
  </si>
  <si>
    <t>Contribution of housing development to GDP</t>
  </si>
  <si>
    <t>Feeling in control of life</t>
  </si>
  <si>
    <t xml:space="preserve">Ability to decorate home </t>
  </si>
  <si>
    <t>Ability to age in place</t>
  </si>
  <si>
    <t>Social capital and cohesion</t>
  </si>
  <si>
    <t>Social empowerment</t>
  </si>
  <si>
    <t>Improved family relationships</t>
  </si>
  <si>
    <t>Decrease in child protection notifications</t>
  </si>
  <si>
    <t xml:space="preserve">Reduced crime  </t>
  </si>
  <si>
    <t>Also see Parsell et al. 2015, p.61, etc.</t>
  </si>
  <si>
    <t xml:space="preserve">Road safety </t>
  </si>
  <si>
    <t>Satisfaction with recreational facilities</t>
  </si>
  <si>
    <t>Satisfaction with medical facilities</t>
  </si>
  <si>
    <t>Satisfaction with transport options</t>
  </si>
  <si>
    <t>Number of commercial activities</t>
  </si>
  <si>
    <t>Density levels</t>
  </si>
  <si>
    <t>Physical and virtual infrastructure</t>
  </si>
  <si>
    <t xml:space="preserve">Physical connectedness to social infrastructure </t>
  </si>
  <si>
    <t xml:space="preserve">Healthy by design </t>
  </si>
  <si>
    <t xml:space="preserve">Future-proofing </t>
  </si>
  <si>
    <t>Integrated and inclusive place-based planning</t>
  </si>
  <si>
    <t>Social connectedness</t>
  </si>
  <si>
    <t>Environment and sustainability</t>
  </si>
  <si>
    <t>Climate resilience</t>
  </si>
  <si>
    <t>Governance</t>
  </si>
  <si>
    <t xml:space="preserve">Addressing overcrowding </t>
  </si>
  <si>
    <t>Physical services and infrastructure</t>
  </si>
  <si>
    <t xml:space="preserve">Whole-of-life accessibility </t>
  </si>
  <si>
    <t xml:space="preserve">Precinct safety </t>
  </si>
  <si>
    <t>Integrated service provision</t>
  </si>
  <si>
    <t>Access to vital services</t>
  </si>
  <si>
    <t>Universal design / equitable access</t>
  </si>
  <si>
    <t>Visitability</t>
  </si>
  <si>
    <t>Simple, intuitive and perceptible elements</t>
  </si>
  <si>
    <t>Economic systems</t>
  </si>
  <si>
    <t>Whole-of-life</t>
  </si>
  <si>
    <t xml:space="preserve">Property diversity </t>
  </si>
  <si>
    <t>Building social value</t>
  </si>
  <si>
    <t xml:space="preserve">Economic stimuli for local community </t>
  </si>
  <si>
    <t>Community connectedness</t>
  </si>
  <si>
    <t>Neighbourhood engagement</t>
  </si>
  <si>
    <t>ABS, 2016
The Scottish Government, 2011a
Fujiwara, 2014
Kearns, Petticrew et al., 2008c</t>
  </si>
  <si>
    <t>Kearns, Petticrew et al., 2008c</t>
  </si>
  <si>
    <t>Maclennan, 2008</t>
  </si>
  <si>
    <t>Fauth, Leventhal et al., 2004
Parsell, Petersen et al., 2015</t>
  </si>
  <si>
    <t>Attribution references - nature of attribution</t>
  </si>
  <si>
    <t>Carter and Polevychok, 2004</t>
  </si>
  <si>
    <t>Economic stimulation</t>
  </si>
  <si>
    <t xml:space="preserve">Productivity </t>
  </si>
  <si>
    <t xml:space="preserve">Housing agency records </t>
  </si>
  <si>
    <t>Maclennan, 2008a</t>
  </si>
  <si>
    <t>Pawson, Milligan et al., 2015
Bridge, Flatau et al., 2003
Anderson, Charles et al., 2003
Kliger, Large et al., 2011
Carter and Polevychok, 2004
Moloughney, 2004</t>
  </si>
  <si>
    <t>Carter, Polevychuk et al., 2009</t>
  </si>
  <si>
    <t>Fujiwara, 2013</t>
  </si>
  <si>
    <t>Partnership for America’s Economic Success (PAES), 2008
Ravi and Reinhardt, 2011
Zon, Molson et al., 2014
Kliger, Large et al., 2011</t>
  </si>
  <si>
    <t>As above
NAPLAN</t>
  </si>
  <si>
    <t>As above
AIHW Educational outcomes for young people</t>
  </si>
  <si>
    <t>Maclennan, 2008
Carter and Polevychok, 2004</t>
  </si>
  <si>
    <t>AIHW, 2015</t>
  </si>
  <si>
    <t>CMHC, 2011</t>
  </si>
  <si>
    <t>CMHC, 2011
The Scottish Government, 2011a</t>
  </si>
  <si>
    <t>Carter and Polevychok, 2004 
Moloughney, 2004</t>
  </si>
  <si>
    <t>Pawson, Milligan et al., 2015</t>
  </si>
  <si>
    <t>Pawson, Milligan et al., 2015
Wood, Flatau et al., 2016
Phibbs and Young, 2005
Maclennan, 2008
Katz, Kling et al., 2001
Pomeroy, 2007</t>
  </si>
  <si>
    <t xml:space="preserve">Appropriate level of density </t>
  </si>
  <si>
    <t>Maclennan, 2008
Wood, Flatau et al., 2016</t>
  </si>
  <si>
    <t>Maclennan, 2008
Phibbs and Young, 2005</t>
  </si>
  <si>
    <t>CMHC, 2011
Phibbs and Young, 2005
Carter, Polevychuk et al., 2009
Moloughney, 2004</t>
  </si>
  <si>
    <t>AIHW, 2015
Kearns, Petticrew et al., 2008b</t>
  </si>
  <si>
    <t>Maclennan, 2008
Bridge, Flatau et al., 2003</t>
  </si>
  <si>
    <t>Effective service provision</t>
  </si>
  <si>
    <t>INDICATORS</t>
  </si>
  <si>
    <t>Parsell et al., 2015</t>
  </si>
  <si>
    <t>Kearns, Petticrew et al., 2008c
Maclennan, 2008</t>
  </si>
  <si>
    <t>Ravi and Reinhardt, 2011
Pawson, Milligan et al., 2015</t>
  </si>
  <si>
    <t>Kearns, Petticrew et al., 2008a</t>
  </si>
  <si>
    <t>Kearns, Petticrew et al., 2008a
Fauth, Leventhal et al., 2004
Kliger, Large et al., 2011</t>
  </si>
  <si>
    <t xml:space="preserve">AURIN </t>
  </si>
  <si>
    <t>Phibbs and Young, 2005
Parsell et al. 2015</t>
  </si>
  <si>
    <t>AURIN</t>
  </si>
  <si>
    <t>Maclennan, 2008
The Scottish Government, 2008</t>
  </si>
  <si>
    <t>AURIN
Local government</t>
  </si>
  <si>
    <t>The Scottish Government, 2011a
Parsell, Petersen et al., 2015</t>
  </si>
  <si>
    <t>Kearns, Petticrew et al., 2008c
Parsell, Petersen et al., 2015</t>
  </si>
  <si>
    <t>Fujiwara, 2013
Maclennan, 2008</t>
  </si>
  <si>
    <t>OUTCOME</t>
  </si>
  <si>
    <t xml:space="preserve">Police records and CHP records </t>
  </si>
  <si>
    <t xml:space="preserve">Neighbourhood safety                                        </t>
  </si>
  <si>
    <t>EXAMPLES OF SUPPORTING MATERIALS</t>
  </si>
  <si>
    <t>CHPs</t>
  </si>
  <si>
    <t>Information not available</t>
  </si>
  <si>
    <t>Inclusive growth</t>
  </si>
  <si>
    <t>Understanding diversity of experience</t>
  </si>
  <si>
    <t>Intergenerational equity</t>
  </si>
  <si>
    <t>Distributive justice and differential value</t>
  </si>
  <si>
    <t>Advocates</t>
  </si>
  <si>
    <t xml:space="preserve">Active and healthy living               </t>
  </si>
  <si>
    <t>Nature of economic value/contribution</t>
  </si>
  <si>
    <t>Highlight impacts which could contribute to correct state of national GDP</t>
  </si>
  <si>
    <t>Reduced problems
with anti-social
behaviour</t>
  </si>
  <si>
    <t>Improved numeracy</t>
  </si>
  <si>
    <t>Completed Year 12</t>
  </si>
  <si>
    <t>Adequate computer
skills</t>
  </si>
  <si>
    <t>Obtained part-time
employment</t>
  </si>
  <si>
    <t>Improved job
readiness</t>
  </si>
  <si>
    <t>People with
injuries, illness or
disability obtained
employment</t>
  </si>
  <si>
    <t>Reduced litter problem</t>
  </si>
  <si>
    <t>Ceased injecting
illegal street drugs</t>
  </si>
  <si>
    <t>Treated for drug and
alcohol problems</t>
  </si>
  <si>
    <t>Satisfaction with housing</t>
  </si>
  <si>
    <t>Diversity score and rates of discrimination</t>
  </si>
  <si>
    <t>AIHW, 2015
Carter and Polevychok, 2004</t>
  </si>
  <si>
    <t>Decrease in recorded incidents of family violence</t>
  </si>
  <si>
    <t xml:space="preserve">Increased access to support services        </t>
  </si>
  <si>
    <t>Perception of living in a safe area</t>
  </si>
  <si>
    <t xml:space="preserve">Improved condition of
neighbourhood homes and gardens </t>
  </si>
  <si>
    <t xml:space="preserve">Rates of volunteering </t>
  </si>
  <si>
    <t xml:space="preserve">Increases in property values and associated tax income </t>
  </si>
  <si>
    <t xml:space="preserve">Access to youth and family support programs </t>
  </si>
  <si>
    <t xml:space="preserve">Active social network  </t>
  </si>
  <si>
    <t xml:space="preserve">Increased personal productivity </t>
  </si>
  <si>
    <t xml:space="preserve">Membership of local organisations and decision-making bodies </t>
  </si>
  <si>
    <t xml:space="preserve">Opportunity to have a say in important issues </t>
  </si>
  <si>
    <t xml:space="preserve">Reduced exposure to violence </t>
  </si>
  <si>
    <t xml:space="preserve">Decrease in apprehended violence orders </t>
  </si>
  <si>
    <t xml:space="preserve">Perception of household safety </t>
  </si>
  <si>
    <t xml:space="preserve">Ability to get help quickly </t>
  </si>
  <si>
    <t xml:space="preserve">Access to public transport including for those with disability </t>
  </si>
  <si>
    <t>Perception of belonging</t>
  </si>
  <si>
    <t xml:space="preserve">Opportunities for participation cultural activities </t>
  </si>
  <si>
    <t>Datasets</t>
  </si>
  <si>
    <t>Impact assessment</t>
  </si>
  <si>
    <t>Business planning</t>
  </si>
  <si>
    <t>Business plan; organisational data
Datasets</t>
  </si>
  <si>
    <t>Business plan; organisational data</t>
  </si>
  <si>
    <t>Business plan; organisational data; Datasets</t>
  </si>
  <si>
    <t>Datasets; survey</t>
  </si>
  <si>
    <t>ASVB Value Calculator</t>
  </si>
  <si>
    <t>Datasets; surveys</t>
  </si>
  <si>
    <t xml:space="preserve">Quality of life              </t>
  </si>
  <si>
    <t>Surveys; audits</t>
  </si>
  <si>
    <t>Impact on biodiversity</t>
  </si>
  <si>
    <t>Construction waste to landfill</t>
  </si>
  <si>
    <t>Avoided cost of corrections</t>
  </si>
  <si>
    <t xml:space="preserve">Datasets; organisational data </t>
  </si>
  <si>
    <t>Wood, Flatau et al., 2016
Pomeroy, 2007
Maclennan, 2008</t>
  </si>
  <si>
    <t>Dwelling density impacting health</t>
  </si>
  <si>
    <t xml:space="preserve">Proportion of tenants in rent arrears </t>
  </si>
  <si>
    <t>Social housing waiting list times</t>
  </si>
  <si>
    <t>Sustaining tenancy</t>
  </si>
  <si>
    <t>Flexibility in housing assets over time</t>
  </si>
  <si>
    <t xml:space="preserve">Social wellbeing relating to tenure / housing options                 </t>
  </si>
  <si>
    <t>Satisfaction with educational options</t>
  </si>
  <si>
    <t>Disruptive activity and behaviour</t>
  </si>
  <si>
    <t>Access to public transport options</t>
  </si>
  <si>
    <t>Access to active transport options</t>
  </si>
  <si>
    <t>Walkable environment</t>
  </si>
  <si>
    <t>Access to local jobs</t>
  </si>
  <si>
    <t>Percieved quality of public areas</t>
  </si>
  <si>
    <t>Resident satisfaction with neighbourhood services</t>
  </si>
  <si>
    <t>Extent of run down, unrepaired buildings</t>
  </si>
  <si>
    <t>Post-occupancy surveys and interviews</t>
  </si>
  <si>
    <t xml:space="preserve">Design guidelines for new; audits for existing </t>
  </si>
  <si>
    <t>Pre- and post-occupancy surveys and interviews</t>
  </si>
  <si>
    <t>Management guidelines</t>
  </si>
  <si>
    <t xml:space="preserve">Design and management guidelines for new; audits for existing </t>
  </si>
  <si>
    <t>Make it easy for everyone to understand the purpose of each design feature and how to use it</t>
  </si>
  <si>
    <t xml:space="preserve">QUALITATIVE ASSESSMENT FINDINGS FROM: </t>
  </si>
  <si>
    <t>Business case</t>
  </si>
  <si>
    <t>Portfolio management engagement</t>
  </si>
  <si>
    <t>Research outcomes</t>
  </si>
  <si>
    <t>Portfolio management</t>
  </si>
  <si>
    <t>Implementation</t>
  </si>
  <si>
    <t xml:space="preserve">D1 COMMUNITY AND CULTURE DOMAIN
</t>
  </si>
  <si>
    <t xml:space="preserve">D2 ECONOMY </t>
  </si>
  <si>
    <t xml:space="preserve">D3 EDUCATION DOMAIN </t>
  </si>
  <si>
    <t xml:space="preserve">D4 EMPLOYMENT DOMAIN </t>
  </si>
  <si>
    <t xml:space="preserve">D5 ENVIRONMENT DOMAIN </t>
  </si>
  <si>
    <t xml:space="preserve">D7 HOUSING DOMAIN </t>
  </si>
  <si>
    <t xml:space="preserve">D8 SOCIAL ENGAGEMENT DOMAIN </t>
  </si>
  <si>
    <t xml:space="preserve">D9 URBAN AMENITY DOMAIN </t>
  </si>
  <si>
    <t>Design character and culture</t>
  </si>
  <si>
    <t xml:space="preserve">Increased business flexibility </t>
  </si>
  <si>
    <t>Local economic impact</t>
  </si>
  <si>
    <t xml:space="preserve">Indirect economic benefits </t>
  </si>
  <si>
    <t>Tax income from increased workforce participation</t>
  </si>
  <si>
    <t>Construction productivity</t>
  </si>
  <si>
    <t xml:space="preserve">Pace of population growth to  dwelling growth </t>
  </si>
  <si>
    <t>Incentives  for local procurement</t>
  </si>
  <si>
    <t xml:space="preserve">Increased disposable household income </t>
  </si>
  <si>
    <t>% of households where rent matches ability to pay</t>
  </si>
  <si>
    <t>Increase in secure tenure</t>
  </si>
  <si>
    <t>Ability for household savings</t>
  </si>
  <si>
    <t xml:space="preserve">Availability of financial management advice </t>
  </si>
  <si>
    <t>Reduction in households in rental stress</t>
  </si>
  <si>
    <t>Estimated gap between  demand and supply</t>
  </si>
  <si>
    <t xml:space="preserve">Improved access to  employment </t>
  </si>
  <si>
    <t xml:space="preserve">Improved access to housing </t>
  </si>
  <si>
    <t>Value of domain outcomes and opportunities</t>
  </si>
  <si>
    <t>Differential value of domain outcomes</t>
  </si>
  <si>
    <t>Contribution to GDP</t>
  </si>
  <si>
    <t xml:space="preserve">Improved economic participation </t>
  </si>
  <si>
    <t>Tracking of accessible housing in marketplace</t>
  </si>
  <si>
    <t>Connection to local labour markets</t>
  </si>
  <si>
    <t>Proportion of social housing in neighbourhood</t>
  </si>
  <si>
    <t>Parsell, Petersen et al., 2015</t>
  </si>
  <si>
    <t>Improved English
language skills for
non-native speakers</t>
  </si>
  <si>
    <t>Learning that helped  confidence with family and others</t>
  </si>
  <si>
    <t xml:space="preserve">Participation in higher education </t>
  </si>
  <si>
    <t xml:space="preserve">Ability to study at home </t>
  </si>
  <si>
    <t xml:space="preserve">Reduced truancy </t>
  </si>
  <si>
    <t>PARTICIPATION</t>
  </si>
  <si>
    <t>PERFORMANCE</t>
  </si>
  <si>
    <t>Decrease in medications</t>
  </si>
  <si>
    <t>Socio-economic status of neighbourhood impacting mental health</t>
  </si>
  <si>
    <t xml:space="preserve">Life expectancy </t>
  </si>
  <si>
    <t>Incidence and prevalence of  preventable diseases</t>
  </si>
  <si>
    <t>HEALTH</t>
  </si>
  <si>
    <t>WELLBEING</t>
  </si>
  <si>
    <t xml:space="preserve">Dwellings meet cultural needs </t>
  </si>
  <si>
    <t xml:space="preserve">Dwellings meet locational needs </t>
  </si>
  <si>
    <t>Vacancy rates/ appropriate utilisation of housing</t>
  </si>
  <si>
    <t>Managing safety</t>
  </si>
  <si>
    <t>Enabling social distancing</t>
  </si>
  <si>
    <t>Equality and equity by design</t>
  </si>
  <si>
    <t>SOCIAL WELLBEING</t>
  </si>
  <si>
    <t>NEIGHBOURHOOD WELLBEING</t>
  </si>
  <si>
    <t>ACCESSIBILITY</t>
  </si>
  <si>
    <t>Access to services</t>
  </si>
  <si>
    <t>Individual access</t>
  </si>
  <si>
    <t xml:space="preserve">Regeneration </t>
  </si>
  <si>
    <t>TRANSFORMATIONAL NARRATIVES</t>
  </si>
  <si>
    <t>NETWORK ENGAGEMENT</t>
  </si>
  <si>
    <t>INNOVATION OPPORTUNITIES</t>
  </si>
  <si>
    <t>IMPACT DOMAIN WORKSHEETS</t>
  </si>
  <si>
    <t>CONTEXT WORKSHEETS</t>
  </si>
  <si>
    <t>Core indicators to be carried over to all prototypes</t>
  </si>
  <si>
    <t>Legend</t>
  </si>
  <si>
    <t xml:space="preserve">Planning for community </t>
  </si>
  <si>
    <r>
      <t>Equitable opportunity for all community members</t>
    </r>
    <r>
      <rPr>
        <b/>
        <sz val="11"/>
        <color theme="1"/>
        <rFont val="Calibri"/>
        <family val="2"/>
      </rPr>
      <t xml:space="preserve">   </t>
    </r>
    <r>
      <rPr>
        <b/>
        <sz val="10"/>
        <color theme="1"/>
        <rFont val="Calibri"/>
        <family val="2"/>
      </rPr>
      <t xml:space="preserve">                        </t>
    </r>
  </si>
  <si>
    <r>
      <t xml:space="preserve">Equitable opportunity </t>
    </r>
    <r>
      <rPr>
        <b/>
        <sz val="11"/>
        <color theme="1"/>
        <rFont val="Calibri"/>
        <family val="2"/>
      </rPr>
      <t xml:space="preserve">   </t>
    </r>
    <r>
      <rPr>
        <b/>
        <sz val="10"/>
        <color theme="1"/>
        <rFont val="Calibri"/>
        <family val="2"/>
      </rPr>
      <t xml:space="preserve">                        </t>
    </r>
  </si>
  <si>
    <t xml:space="preserve">Business case and design guidelines for new; audits for existing </t>
  </si>
  <si>
    <t>Access to employment and education opportunities</t>
  </si>
  <si>
    <t xml:space="preserve">Primary school attendence / performance </t>
  </si>
  <si>
    <t xml:space="preserve">Secondary school attendence / performance </t>
  </si>
  <si>
    <t>Increased participation in education</t>
  </si>
  <si>
    <t>EDUCATION</t>
  </si>
  <si>
    <t>COMMUNITY AND CULTURE</t>
  </si>
  <si>
    <t>ECONOMY</t>
  </si>
  <si>
    <t>EMPLOYMENT</t>
  </si>
  <si>
    <t>ENVIRONMENT</t>
  </si>
  <si>
    <t>Wellbeing</t>
  </si>
  <si>
    <t xml:space="preserve">Ratio of fresh food outlets to fast food outlets </t>
  </si>
  <si>
    <t>AIHW, 2015
Kearns, Petticrew et al., 2008a
AIHW 2015</t>
  </si>
  <si>
    <t>Participation in sport at least once per month</t>
  </si>
  <si>
    <t>HEALTH AND WELLBEING</t>
  </si>
  <si>
    <t>Number of people homeless or at risk of homelessness  now able to sustain tenancy</t>
  </si>
  <si>
    <t xml:space="preserve">Able to afford home/contents insurance  </t>
  </si>
  <si>
    <t xml:space="preserve">Proportion of various housing tenure arrangements / options </t>
  </si>
  <si>
    <t>Affordability of services in social housing</t>
  </si>
  <si>
    <t xml:space="preserve">% of households in overcrowded conditions </t>
  </si>
  <si>
    <t>Asset maintenance planning and efficiency</t>
  </si>
  <si>
    <t>Non-core indicators for specific prototype</t>
  </si>
  <si>
    <t>Safety by design</t>
  </si>
  <si>
    <t>HOUSING</t>
  </si>
  <si>
    <t xml:space="preserve">Neighbourhood cohesiveness  </t>
  </si>
  <si>
    <t>SOCIAL ENGAGEMENT</t>
  </si>
  <si>
    <t xml:space="preserve">Reduced crime </t>
  </si>
  <si>
    <t xml:space="preserve">Neighbourhood safety     </t>
  </si>
  <si>
    <t xml:space="preserve">Neighbourhood safety </t>
  </si>
  <si>
    <t>URBAN AMENITY</t>
  </si>
  <si>
    <t>COMMUNITY</t>
  </si>
  <si>
    <t>HEALTH WELLBEING</t>
  </si>
  <si>
    <t>EDUCATIOM</t>
  </si>
  <si>
    <t>INNOVATION</t>
  </si>
  <si>
    <t>Transformational narratives</t>
  </si>
  <si>
    <t>NARRATIVES</t>
  </si>
  <si>
    <t xml:space="preserve">Business agility </t>
  </si>
  <si>
    <t>COMMUNITY CULTURE</t>
  </si>
  <si>
    <t>Regeneration</t>
  </si>
  <si>
    <t>Individual accessibility</t>
  </si>
  <si>
    <t xml:space="preserve">Whole-of-life household accessibility </t>
  </si>
  <si>
    <t>Enhanced delivery options</t>
  </si>
  <si>
    <t>Information not yet compiled</t>
  </si>
  <si>
    <t>NA</t>
  </si>
  <si>
    <t>Impact assessments</t>
  </si>
  <si>
    <t xml:space="preserve">Qld Social Housing Design Guideline 2021 p.20
	</t>
  </si>
  <si>
    <t>Core</t>
  </si>
  <si>
    <t>Elective</t>
  </si>
  <si>
    <t>Via precinct planning at Commonwealth (smart cities), state (development plans) or local government</t>
  </si>
  <si>
    <t xml:space="preserve">Access to community and support facilities and services </t>
  </si>
  <si>
    <t>Net zero by 2050</t>
  </si>
  <si>
    <t>Access to public and active transport options for households</t>
  </si>
  <si>
    <t xml:space="preserve">Portfolio  </t>
  </si>
  <si>
    <t>ECONOMIC SYSTEMS</t>
  </si>
  <si>
    <t xml:space="preserve">Pace of population growth to growth in dwelling supply </t>
  </si>
  <si>
    <t>Matching type of dwelling production to need</t>
  </si>
  <si>
    <t xml:space="preserve">Proportion of investment returned to housing provider </t>
  </si>
  <si>
    <t>Cost-effective, robust and people-friendly materials, fixtures and fittings for physical durability and low maintenance. Maintenance with minimal disruption to residents</t>
  </si>
  <si>
    <t>Dataset  Examples / Notes</t>
  </si>
  <si>
    <t>Mobility between remote communities and urban settings</t>
  </si>
  <si>
    <t xml:space="preserve">Increased affordability and availability   </t>
  </si>
  <si>
    <r>
      <t>Equitable opportunity for  community members</t>
    </r>
    <r>
      <rPr>
        <b/>
        <sz val="11"/>
        <color theme="1"/>
        <rFont val="Calibri"/>
        <family val="2"/>
      </rPr>
      <t xml:space="preserve">   </t>
    </r>
    <r>
      <rPr>
        <b/>
        <sz val="10"/>
        <color theme="1"/>
        <rFont val="Calibri"/>
        <family val="2"/>
      </rPr>
      <t xml:space="preserve">                        </t>
    </r>
  </si>
  <si>
    <t>ABS Index of Relative Socio-Economic Advantage and Disadvantage and Economic Resources Distribution
AURIN</t>
  </si>
  <si>
    <t>Enhanced labour market productivity</t>
  </si>
  <si>
    <t>Reduced domestic violence</t>
  </si>
  <si>
    <t>Enhanced human capital</t>
  </si>
  <si>
    <t>Reduced costs of crime</t>
  </si>
  <si>
    <t>Education benefits</t>
  </si>
  <si>
    <t>Improvement in education and training</t>
  </si>
  <si>
    <t>Parsell, C., et al. (2015). Brisbane Common Ground Evaluation findings</t>
  </si>
  <si>
    <t>Cohort-appropriate environment / community</t>
  </si>
  <si>
    <t>ASVB Value Calculator
Parsell, C., et al. (2015). Brisbane Common Ground Evaluation findings</t>
  </si>
  <si>
    <t>ASVB value calculator
Parsell, C., et al. (2015). Brisbane Common Ground Evaluation findings</t>
  </si>
  <si>
    <t>CBA*</t>
  </si>
  <si>
    <t>SROI*</t>
  </si>
  <si>
    <t>WV*</t>
  </si>
  <si>
    <t xml:space="preserve">
Datasets; survey</t>
  </si>
  <si>
    <t xml:space="preserve">
Datasets; survey</t>
  </si>
  <si>
    <t>Households</t>
  </si>
  <si>
    <t>Economic Systems</t>
  </si>
  <si>
    <t>CBA</t>
  </si>
  <si>
    <t>SROI</t>
  </si>
  <si>
    <t>WV</t>
  </si>
  <si>
    <t>Value of Equity</t>
  </si>
  <si>
    <t>Notes:</t>
  </si>
  <si>
    <t>Datasets; analyses</t>
  </si>
  <si>
    <t xml:space="preserve">Participation </t>
  </si>
  <si>
    <t>Performance</t>
  </si>
  <si>
    <t>UK Social Value Bank</t>
  </si>
  <si>
    <t>Built form</t>
  </si>
  <si>
    <t>Household</t>
  </si>
  <si>
    <t>Connections</t>
  </si>
  <si>
    <t>Interactions</t>
  </si>
  <si>
    <t>Information assessed</t>
  </si>
  <si>
    <t>UK Social Value Bank
AURIN</t>
  </si>
  <si>
    <t>(i) link to wellbeing valuations
(ii) regulatory and policy impact assessment of policy changes
(iii) Design guidelines for new; audits for existing</t>
  </si>
  <si>
    <t>Organisational data</t>
  </si>
  <si>
    <t>Ability of developer to enhance supply</t>
  </si>
  <si>
    <t xml:space="preserve"> </t>
  </si>
  <si>
    <t xml:space="preserve">Maximising property affordability </t>
  </si>
  <si>
    <t>Balancing economic performance</t>
  </si>
  <si>
    <t>Strategic, policy and portfolio management engagement required</t>
  </si>
  <si>
    <t>Portfolio</t>
  </si>
  <si>
    <t>Social benefit bonds</t>
  </si>
  <si>
    <t xml:space="preserve">NA </t>
  </si>
  <si>
    <t>Not applicable</t>
  </si>
  <si>
    <t>Cluster</t>
  </si>
  <si>
    <t>Telethon Kids Institute</t>
  </si>
  <si>
    <t xml:space="preserve">See also ASVB Value Calculator
</t>
  </si>
  <si>
    <t xml:space="preserve">
</t>
  </si>
  <si>
    <t>Level of local employment opportunities to residential density</t>
  </si>
  <si>
    <t xml:space="preserve">Access to recycling </t>
  </si>
  <si>
    <t>Precinct and strategic planning</t>
  </si>
  <si>
    <t>For example see WA Climate Policy 2020 https://www.wa.gov.au/system/files/2020-12/Western_Australian_Climate_Policy.pdf</t>
  </si>
  <si>
    <t xml:space="preserve">Dwelling design </t>
  </si>
  <si>
    <t xml:space="preserve">Access to public transport including for those with disability 
</t>
  </si>
  <si>
    <t>Avoided costs of drug dependence</t>
  </si>
  <si>
    <t>Avoided costs of alcohol dependence</t>
  </si>
  <si>
    <t>Reduced spend on health after move into public housing</t>
  </si>
  <si>
    <t>Health service use differentials between those living rough and those in social housing</t>
  </si>
  <si>
    <t>Active and healthy living</t>
  </si>
  <si>
    <t>Surveys, interviews and case studies</t>
  </si>
  <si>
    <t xml:space="preserve">Employment </t>
  </si>
  <si>
    <t>Health</t>
  </si>
  <si>
    <t xml:space="preserve">Wellbeing </t>
  </si>
  <si>
    <t>Social wellbeing</t>
  </si>
  <si>
    <t xml:space="preserve">Accessibility </t>
  </si>
  <si>
    <t xml:space="preserve">Surveys, interviews and case studies
</t>
  </si>
  <si>
    <t>Survey, interviews and case studies</t>
  </si>
  <si>
    <t xml:space="preserve">Surveys, interviews and case studies
Parsell, C., et al. (2015). Brisbane Common Ground Evaluation findings
	</t>
  </si>
  <si>
    <t>Surveys, audits, interviews and case studies</t>
  </si>
  <si>
    <t>Self-reporting</t>
  </si>
  <si>
    <t>Surveys, interviews and case studies
Parsell, C., et al. (2015). Brisbane Common Ground Evaluation findings</t>
  </si>
  <si>
    <t xml:space="preserve">Facilitating collaboration </t>
  </si>
  <si>
    <t xml:space="preserve">https://livablehousingaustralia.org.au/design-guidelines/ </t>
  </si>
  <si>
    <t>Details (examples)</t>
  </si>
  <si>
    <t>Economic Impact Statements</t>
  </si>
  <si>
    <t>Government and CHP databases</t>
  </si>
  <si>
    <t>See CHP annual reports and tenant surveys</t>
  </si>
  <si>
    <t>See CHPs annual reports and tenant surveys</t>
  </si>
  <si>
    <t xml:space="preserve">Surveys, interviews and case studies
</t>
  </si>
  <si>
    <t xml:space="preserve">UK Social Value Bank
</t>
  </si>
  <si>
    <t xml:space="preserve">Design guidelines for new; audits for existing 
</t>
  </si>
  <si>
    <t>State police records</t>
  </si>
  <si>
    <t xml:space="preserve">ASVB Value Calculator
UK Social Value Bank
</t>
  </si>
  <si>
    <t>Police records and other government datasets</t>
  </si>
  <si>
    <t>ASVB Value Calculator
AURIN</t>
  </si>
  <si>
    <t xml:space="preserve">UK Social Value Bank
</t>
  </si>
  <si>
    <t>Idcommunity online resource: Social atlas | City of Perth | atlas.id</t>
  </si>
  <si>
    <t>Surveys and interviews</t>
  </si>
  <si>
    <t>Surveys, audits and interviews</t>
  </si>
  <si>
    <t xml:space="preserve">UK Social Value Bank
Datasets; organisational data </t>
  </si>
  <si>
    <t>Design guidelines for new; audits for existing 
Greenstar rating</t>
  </si>
  <si>
    <r>
      <rPr>
        <sz val="10"/>
        <rFont val="Calibri"/>
        <family val="2"/>
        <scheme val="minor"/>
      </rPr>
      <t>Case studies e.g</t>
    </r>
    <r>
      <rPr>
        <u/>
        <sz val="10"/>
        <color theme="10"/>
        <rFont val="Calibri"/>
        <family val="2"/>
        <scheme val="minor"/>
      </rPr>
      <t xml:space="preserve"> universal design New York (universaldesignaustralia.net.au)</t>
    </r>
  </si>
  <si>
    <t xml:space="preserve">Whole-of-life precinct accessibility </t>
  </si>
  <si>
    <t>Appropriate density levels</t>
  </si>
  <si>
    <t xml:space="preserve">Accessible community facilities </t>
  </si>
  <si>
    <t xml:space="preserve">Accessible sporting facilities </t>
  </si>
  <si>
    <t>Accessibility to heritage sites</t>
  </si>
  <si>
    <t>Accessible and diverse  cultural sites</t>
  </si>
  <si>
    <t xml:space="preserve">Targets for tenure and dwelling diversity  
</t>
  </si>
  <si>
    <t xml:space="preserve">Tenure diversity to contribute to a resilient housing system </t>
  </si>
  <si>
    <t>Social mix to reflect population demographics</t>
  </si>
  <si>
    <t xml:space="preserve">Prefab construction to improve housing delivery </t>
  </si>
  <si>
    <t xml:space="preserve">Stretch targets for additional provision </t>
  </si>
  <si>
    <t xml:space="preserve">Use of low-carbon, passive design to reduce whole-of-life costs </t>
  </si>
  <si>
    <t xml:space="preserve">Manage future affordability in areas of urban regeneration </t>
  </si>
  <si>
    <t xml:space="preserve">Optimise resilience of housing stock to meet climate change </t>
  </si>
  <si>
    <t xml:space="preserve">Monitor, identify and embed best practice </t>
  </si>
  <si>
    <t xml:space="preserve">Roadmap for updated strategies, contracts and guidelines </t>
  </si>
  <si>
    <t>Social impact outcomes</t>
  </si>
  <si>
    <t>Extent of interviews and workshops with residents and CHP housing managers</t>
  </si>
  <si>
    <t>Strategies, contracts and guidelines to support co-creation through partnerships</t>
  </si>
  <si>
    <t>Social impact bonds</t>
  </si>
  <si>
    <t>Capacity to deliver</t>
  </si>
  <si>
    <t>Appropriate capabilities</t>
  </si>
  <si>
    <t xml:space="preserve">QUANTITATIVE ASSESSMENT FINDINGS (e.g. CBA, SROI or WVA) FROM: </t>
  </si>
  <si>
    <t xml:space="preserve">Meeting strategy action plan targets </t>
  </si>
  <si>
    <t>Meeting growth needs through planning mechanisms</t>
  </si>
  <si>
    <t>Available workforce with appropriate skills; time and support for training</t>
  </si>
  <si>
    <t>Quantum of housing outcomes</t>
  </si>
  <si>
    <t>Budget and policy papers and outcomes supporting pipeline of social housing construction which meets demographic and locational needs</t>
  </si>
  <si>
    <t>Planning schemes; land availability to meet pipeline of housing need in LGA</t>
  </si>
  <si>
    <t>Quantum of funding for SAH research</t>
  </si>
  <si>
    <t>Industry uptake and impact of research outcomes</t>
  </si>
  <si>
    <t xml:space="preserve">Providing effective national leadership </t>
  </si>
  <si>
    <t xml:space="preserve">Funding support; access </t>
  </si>
  <si>
    <t>Quantum of funding for SAH outcomes; % of philanthropic funding directed to housing</t>
  </si>
  <si>
    <t>Surveys re workforce retention and satisfaction; attractiveness of industry for new starters</t>
  </si>
  <si>
    <t>% of multi-generational households; overcrowding statistics (ABS, AIHW)</t>
  </si>
  <si>
    <t>Extent of political engagement / response to advocacy</t>
  </si>
  <si>
    <t>Employee and resident surveys</t>
  </si>
  <si>
    <t>QUALITATIVE</t>
  </si>
  <si>
    <t>Assessment Status</t>
  </si>
  <si>
    <t>ECONOMY HOUSEHOLDS</t>
  </si>
  <si>
    <t>GOVERNMENT AND ORGANISATIONS</t>
  </si>
  <si>
    <t>ECONOMY VALUE OF EQUITY</t>
  </si>
  <si>
    <t>DWELLING AND TENANCY</t>
  </si>
  <si>
    <t>PLACEMAKING</t>
  </si>
  <si>
    <t>QUANTITATIVE</t>
  </si>
  <si>
    <t>ASSESSMENT STATUS</t>
  </si>
  <si>
    <t>COMMUNITY AND CULTURE $ Return on Investment</t>
  </si>
  <si>
    <t>ECONOMY $ Return on Investment</t>
  </si>
  <si>
    <t>EDUCATION $ Return on Investment</t>
  </si>
  <si>
    <t>EMPLOYMENT $ Return on Investment</t>
  </si>
  <si>
    <t>ENVIRONMENT $ Return on Investment</t>
  </si>
  <si>
    <t>HEALTH AND WELLBEING $ Return on Investment</t>
  </si>
  <si>
    <t>HOUSING $ Return on Investment</t>
  </si>
  <si>
    <t>SOCIAL ENGAGEMENT $ Return on Investment</t>
  </si>
  <si>
    <t>URBAN AMENITY $ Return on Investment</t>
  </si>
  <si>
    <t>EXAMPLES ONLY</t>
  </si>
  <si>
    <t>NARRATIVES $ Return on Investment</t>
  </si>
  <si>
    <t>Narratives</t>
  </si>
  <si>
    <t>NETWORK ENGAGEMENT $ Return on Investment</t>
  </si>
  <si>
    <t>Network engagement</t>
  </si>
  <si>
    <t>INNOVATION $ Return on Investment</t>
  </si>
  <si>
    <t>Innovation</t>
  </si>
  <si>
    <t xml:space="preserve">Built form </t>
  </si>
  <si>
    <t xml:space="preserve">https://www.fremantle.wa.gov.au/sites/default/files/homelessness%20plan%202021-2024.pdf </t>
  </si>
  <si>
    <t>https://www.housingdata.gov.au/visualisation/social-housing/tenant-satisfaction-with-services</t>
  </si>
  <si>
    <t>Tenant satisfaction with services | Social housing | Housing data</t>
  </si>
  <si>
    <t>https://www.abs.gov.au/articles/building-new-home-construction-cost-changes#:~:text=Key%20Statistics%201%20Almost%20half%20of%20new%20residential,average%20increase%20of%20%243%2C941%20per%20dwelling.%20More%20items
https://www.abs.gov.au/statistics/industry/building-and-construction</t>
  </si>
  <si>
    <t>Interviews, surveys and case studies</t>
  </si>
  <si>
    <t>https://www.shelterwa.org.au/events/
https://www.eventbrite.com.au/cc/events-128339</t>
  </si>
  <si>
    <t>https://www.acoss.org.au/housing-homelessness/</t>
  </si>
  <si>
    <t>https://www.chde.qld.gov.au/about/strategy/housing/housing-and-homelessness-action-plan-2021-2025</t>
  </si>
  <si>
    <t>https://www.aihw.gov.au/reports/australias-welfare/apprenticeships-and-traineeships
https://labourmarketinsights.gov.au/regions/employment-regions/?region=Perth+South#industries</t>
  </si>
  <si>
    <t>Capabilities</t>
  </si>
  <si>
    <t>Urban design and placemaking</t>
  </si>
  <si>
    <t xml:space="preserve">Surveys, interviews and case studies </t>
  </si>
  <si>
    <t>Precinct planning: surveys; audits</t>
  </si>
  <si>
    <t xml:space="preserve">Current examples of cost benefit analysis (CBA,) social return on investment (SROI) and wellbeing valuation (WV) figures have been included from the available literature. 
These figures are provided as an indication of relative rather than an absolute return on investment (ROI).  </t>
  </si>
  <si>
    <t>SBEnrc 1.81 SOCIAL AND AFFORDABLE HOUSING INVESTMENT (SAHI) TOOL</t>
  </si>
  <si>
    <t>Project/program-specific</t>
  </si>
  <si>
    <t>Program/project-specific indicators</t>
  </si>
  <si>
    <t xml:space="preserve">Quantitative Assessment Findings   (e.g. CBA, SROI or WV) From: </t>
  </si>
  <si>
    <t xml:space="preserve">Qualitative Assessment Findings From: </t>
  </si>
  <si>
    <t>Quality of local services and facilities (e.g. education, health, shopping, and social activities/facilities)</t>
  </si>
  <si>
    <t xml:space="preserve">Opportunities for participation in cultural activities </t>
  </si>
  <si>
    <t xml:space="preserve">Opportunities to participate in community activities (e.g. sports and recreation) </t>
  </si>
  <si>
    <t>Design, character and culture</t>
  </si>
  <si>
    <t>Economic diversity in spatial planning</t>
  </si>
  <si>
    <t>Kilometres to be travelled and type of transport required</t>
  </si>
  <si>
    <t>Kilometres to be travelled and type of transport required
AURIN for location of cultural centres</t>
  </si>
  <si>
    <t xml:space="preserve">UK Social Value Bank                             £11,800 (Fujiwara, 2013) for volunteer work placement availability </t>
  </si>
  <si>
    <t>Use of design to create places/spaces which enable resident engagement        (e.g. planting)                                                Create desirable spaces and places</t>
  </si>
  <si>
    <t>AIHW – Australian Institute of Health and Welfare</t>
  </si>
  <si>
    <t>CHP – Community housing provider</t>
  </si>
  <si>
    <t xml:space="preserve">AURIN – Australian Urban Research Infrastructure Network </t>
  </si>
  <si>
    <t>AIHW NSHS (2019) NSHS – Proximity to services</t>
  </si>
  <si>
    <t>(Common Ground Queensland 2016) Cameron’s Story: ‘I volunteer some Friday mornings with the food vans in Wickham Park or Ivory Street. I also volunteered at the PA Hospital for over a year. There are a lot of people in worse situations than me and I try to keep myself positive.’</t>
  </si>
  <si>
    <t>Further research needed. Critical to not create class structure (e.g. in entry and onsite facilities)</t>
  </si>
  <si>
    <t>AURIN – Community Strength
ABS
AIHW NSHS  – Proximity to services (Community and Support services)</t>
  </si>
  <si>
    <t>AIHW Aboriginal and Torres Strait Islander Health Performance Framework 2022 –  https://www.indigenoushpf.gov.au/
AURIN – Social indicators for Indigenous Population</t>
  </si>
  <si>
    <t>AURIN – LGA attended local arts and cultural event last three months (Melbourne only)</t>
  </si>
  <si>
    <t>AURIN – LGA attended local arts and cultural event last three months (Melbourne only)
AURIN SA2 OECD Indicators: Volunteering 2011
State-based sport and recreation agencies
Local government community services</t>
  </si>
  <si>
    <t xml:space="preserve">AURIN SA2 OECD Indicators: Volunteering 2011
AURIN: National Centre for Social and Economic Modelling (2011): SA2 OECD Indicators: Volunteering 2011
ABS voluntary work </t>
  </si>
  <si>
    <t>Resident and community engagement and buy-in. Prioritise appropriate site selection</t>
  </si>
  <si>
    <t>ABS Tech. Paper 2016
AURIN (Indigenous only) – University of Canberra – National Centre for Social and Economic Modelling (2011)</t>
  </si>
  <si>
    <t>ABS – Australian Bureau of Statistics</t>
  </si>
  <si>
    <t>LGA – Local Government Association</t>
  </si>
  <si>
    <t>Community and Culture</t>
  </si>
  <si>
    <t>CBA – $ return per person, per year</t>
  </si>
  <si>
    <t>SROI – $ return per person, per year</t>
  </si>
  <si>
    <t>WV – $ benefit per person, per year</t>
  </si>
  <si>
    <t xml:space="preserve">Ability to reinvest in housing services and production       </t>
  </si>
  <si>
    <t>Community in mixed-tenure environments</t>
  </si>
  <si>
    <t>Project  optionality (e.g. job creation)</t>
  </si>
  <si>
    <t xml:space="preserve">Proportion of homes built being for low and moderate income households </t>
  </si>
  <si>
    <t>Contribution to reducing gap between  demand and supply</t>
  </si>
  <si>
    <t>Effective whole-of-life asset maintenance costs</t>
  </si>
  <si>
    <t>Core Logic suburban profiles by subscription including sales, demographic profiles and property trends
ABS</t>
  </si>
  <si>
    <t>Datasets; organisational data
Core Logic suburban profiles by subscription including sales, demographic profiles and property trends</t>
  </si>
  <si>
    <t>Datasets (e.g. ABS Land and Housing Supply Indicators)</t>
  </si>
  <si>
    <t xml:space="preserve">Business plan; organisational data </t>
  </si>
  <si>
    <t>Design guidelines for new; audits for existing; business plan; organisational data</t>
  </si>
  <si>
    <t>Cost-effective, robust and people-friendly materials, fixtures and fittings for physical durability and low maintenance                           Maintenance with minimal disruption to residents</t>
  </si>
  <si>
    <t>Survey and interviews</t>
  </si>
  <si>
    <t>Attribution References – Nature of Attribution</t>
  </si>
  <si>
    <t>Dataset Examples / Notes</t>
  </si>
  <si>
    <t xml:space="preserve">Association of Oregon Community Development Organizations (AOCDO), 2003 – referenced in Buzzelli </t>
  </si>
  <si>
    <t>State and territory-based Housing Authority databases</t>
  </si>
  <si>
    <t>State and territory-based Housing Authorities</t>
  </si>
  <si>
    <t xml:space="preserve">Investment framework required for mixed-tenure, mixed-use development, as partnership among government, not-for-profits and private sector provides opportunities to increase supply </t>
  </si>
  <si>
    <t xml:space="preserve">Quantitative Assessment Findings       (e.g. CBA, SROI or WVA) From: </t>
  </si>
  <si>
    <t>Long-term savings on welfare through addressing intergenerational poverty</t>
  </si>
  <si>
    <t>Greater financial flexibility for low-income households as a result of alleviating housing stress</t>
  </si>
  <si>
    <t xml:space="preserve">Long-term reduction in households requiring subsidies </t>
  </si>
  <si>
    <t>Number of households free of debt</t>
  </si>
  <si>
    <t>Reduction in households having difficulty paying bills</t>
  </si>
  <si>
    <t xml:space="preserve">Reduction in households having to sell or pawn possessions </t>
  </si>
  <si>
    <t xml:space="preserve">Reduction in households seeking help from welfare </t>
  </si>
  <si>
    <t>Reduction in households seeking financial assistance</t>
  </si>
  <si>
    <t>State and territory-based Housing Authority databases – data on tenant income over time
Henderson poverty index</t>
  </si>
  <si>
    <t>State and territory-based Housing Authority databases – rent often indexed to tenant income</t>
  </si>
  <si>
    <t>State and territory-based Housing Authority databases – tenure is largely secure in  Australian public housing (though some tenants are on fixed-term tenancies)</t>
  </si>
  <si>
    <t>State and territory-based Housing Authority databases – Information only available on what has been funded by the Housing Authority, no client data</t>
  </si>
  <si>
    <t>AURIN OECD Indicators – Income, equity and financial stress; personal and financial stressors; Indigenous data
BCEC, ABS, Centrelink</t>
  </si>
  <si>
    <t xml:space="preserve">AIHW NSHS (2019)   </t>
  </si>
  <si>
    <r>
      <t xml:space="preserve">Housing providers 
AIHW </t>
    </r>
    <r>
      <rPr>
        <i/>
        <sz val="10"/>
        <color rgb="FF000000"/>
        <rFont val="Calibri"/>
        <family val="2"/>
      </rPr>
      <t>National Social Housing Survey</t>
    </r>
    <r>
      <rPr>
        <sz val="10"/>
        <color rgb="FF000000"/>
        <rFont val="Calibri"/>
        <family val="2"/>
      </rPr>
      <t xml:space="preserve"> (NSHS) (2019)  </t>
    </r>
  </si>
  <si>
    <t>AIHW NSHS (2019) – Self-reported benefits gained by tenants living in social housing (be able to manage rent/money better)</t>
  </si>
  <si>
    <t>(Phibbs and Young, 2005) p.I; Eating better foods as a result of increased financial resources</t>
  </si>
  <si>
    <t>AIHW National Social Housing Survey (NSHS) (2019) – Satisfaction with day-to-day and emergency maintenance services</t>
  </si>
  <si>
    <t xml:space="preserve">Improved access to education </t>
  </si>
  <si>
    <t xml:space="preserve">Improved access to employment </t>
  </si>
  <si>
    <t xml:space="preserve">Wellbeing valuations; impact assessment of policy changes, including in design guidelines, POE audits 
Qld Globe transport stops –  https://qldglobe.information.qld.gov.au/
</t>
  </si>
  <si>
    <t xml:space="preserve">Wellbeing valuations; impact assessment of policy changes, including in design guidelines, POE audits 
Qld Globe transport stops and school catchments –  https://qldglobe.information.qld.gov.au/
</t>
  </si>
  <si>
    <t xml:space="preserve">Wellbeing valuations; impact assessment of policy changes; including in design guidelines, POE audits 
</t>
  </si>
  <si>
    <t xml:space="preserve">Compare outcomes between cohorts (e.g. age, gender, lowest and highest income quintiles over time, drawing on longitudinal data. Collect longitudinal data to inform future policymaking and delivery </t>
  </si>
  <si>
    <t>(i) % of income contributed to achieve domain outcomes
(ii) aggregation of impact on differing cohorts of differing incomes to demonstrate diversity of impact of access to housing
(iii) evidence of consideration/thinking
(iv) past narratives to highlight and inform impact. Collect longitudinal data to inform future policymaking and delivery</t>
  </si>
  <si>
    <t>Post-regulatory and policy impact narratives</t>
  </si>
  <si>
    <t xml:space="preserve">AIHW NSHS (2019)  </t>
  </si>
  <si>
    <t xml:space="preserve">Quantitative Assessment Findings        (e.g. CBA, SROI or WVA) From: </t>
  </si>
  <si>
    <t>Local property value impacts on availability of housing</t>
  </si>
  <si>
    <t>Economic impact of broader benefits of access to housing (see impact domains)</t>
  </si>
  <si>
    <t>Value-capture or like-planning mechanism</t>
  </si>
  <si>
    <t>Economic impact assessment across relevant domains to demonstrate value of supply of housing beyond traditional cost benefit (e.g. social benefit bonds)</t>
  </si>
  <si>
    <t>Provide feedback re findings to high-level decision-makers for future budgets</t>
  </si>
  <si>
    <t xml:space="preserve">Unlock under-utilised reosurces for social and affordable housing outcomes. Careful capitalisation of investment during the planning/design essential. Revenue-generating models of the investment can help with opportunities. Consider planning mechanisms for investors to incorporate social and affordable housing </t>
  </si>
  <si>
    <t>Creating people-oriented local environments to enhance social diversity and housing is important, including community spaces and cafes. Role for mixed-use and mixed tenure</t>
  </si>
  <si>
    <t>Need to take account of the social benefit of economic participation and people being able to work/study from home. Build partnerships to facilitate. Social service provision aids in increasing liveability in these precincts</t>
  </si>
  <si>
    <t>Diversity of employment in proximity, enabling residents to commute to work easily. Access via public transport is critical. Transit time to employment/childcare/schools is important. Work-from-home options increase participation</t>
  </si>
  <si>
    <t>AIHW 2014
CMHC, 2011
Carter and Polevychok, 2004</t>
  </si>
  <si>
    <t xml:space="preserve">CHP – Community housing provider </t>
  </si>
  <si>
    <t xml:space="preserve">BCEC – Bankwest Curtin Economics Centre </t>
  </si>
  <si>
    <t>Govts &amp; Organisations</t>
  </si>
  <si>
    <t xml:space="preserve">State and territory-based Department(s) of Education
ABS </t>
  </si>
  <si>
    <t>AIHW Aboriginal and Torres Strait Islander Health Performance Framework 2022 –  https://www.indigenoushpf.gov.au/</t>
  </si>
  <si>
    <t xml:space="preserve">Surveys and interviews (e.g. Parsell, C.,     et al. (2015). Brisbane Common Ground Evaluation findings
</t>
  </si>
  <si>
    <r>
      <t xml:space="preserve">£435 (Fujiwara, 2013) p.32                         </t>
    </r>
    <r>
      <rPr>
        <b/>
        <i/>
        <sz val="10"/>
        <color rgb="FF000000"/>
        <rFont val="Calibri"/>
        <family val="2"/>
      </rPr>
      <t>1.7 times conversion applied</t>
    </r>
  </si>
  <si>
    <t xml:space="preserve">Case-specific reports
Design guidelines for new; audits for existing 
Datasets; surveys (e.g. AURIN: Torrens University Australia – Public Health Information Development Unit, (2014): SD Internet Access at Home
ABS collected in 2011 and 2016 Census 2011 data available online at suburb level and up
 </t>
  </si>
  <si>
    <t>SGS Economics and Planning (2022) 
Parsell, C., et al. (2015). Brisbane 
Common Ground Evaluation findings</t>
  </si>
  <si>
    <t>Spaces for learning and working including quality</t>
  </si>
  <si>
    <t>Learning that helped become a more confident parent</t>
  </si>
  <si>
    <t>Preschool enrolment and/or attendance (i.e. accessible)</t>
  </si>
  <si>
    <t>Commenced
education – 
Certificate level III or IV</t>
  </si>
  <si>
    <t>Commenced
education – 
Certificate level I or II</t>
  </si>
  <si>
    <t xml:space="preserve">Additional earning potential resulting from continuing education and retraining  </t>
  </si>
  <si>
    <t xml:space="preserve">Benefit of vocational training </t>
  </si>
  <si>
    <t>Internet access at home including quality</t>
  </si>
  <si>
    <t>Annual additional earning potential for Year 12 graduates – five years out</t>
  </si>
  <si>
    <t xml:space="preserve">Preschool attendence / performance  </t>
  </si>
  <si>
    <t>School-leaving age</t>
  </si>
  <si>
    <t>Datasets
Qld Globe catchments –  https://qldglobe.information.qld.gov.au/</t>
  </si>
  <si>
    <t>Case-specific reports
Datasets</t>
  </si>
  <si>
    <t xml:space="preserve">Surveys and interviews
</t>
  </si>
  <si>
    <t>Survey and interviews (e.g. Parsell, C.,       et al. (2015). Brisbane Common Ground Evaluation findings</t>
  </si>
  <si>
    <t>AURIN: University of Newcastle – Centre of Full Employment and Equity, (2015): Australia By Less Skilled CofFEE Functional Economic Region 2011
AIHW Aboriginal and Torres Strait Islander Health Performance Framework 2022 –  https://www.indigenoushpf.gov.au/</t>
  </si>
  <si>
    <r>
      <t>AURIN: Regional Australia Institute, (2011): LGA Human Capital Indicators 2011</t>
    </r>
    <r>
      <rPr>
        <sz val="10"/>
        <color rgb="FF000000"/>
        <rFont val="Times New Roman"/>
        <family val="1"/>
      </rPr>
      <t xml:space="preserve"> </t>
    </r>
  </si>
  <si>
    <t xml:space="preserve">AIHW NSHS (2019) </t>
  </si>
  <si>
    <t>Case-specific reports
Data (e.g. AURIN: University of Newcastle – Centre of Full Employment and Equity, (2015): Australia By Less Skilled CofFEE Functional Economic Region 2011
AIHW Indigenous data – Health Performance Framework</t>
  </si>
  <si>
    <t>Obtained full-time
employment – moved from unemployment to employment</t>
  </si>
  <si>
    <t>Obtained casual
employment – 
equivalent full-time
hours</t>
  </si>
  <si>
    <t>Obtained casual
employment – 
equivalent part-time
hours</t>
  </si>
  <si>
    <t>Became self-employed</t>
  </si>
  <si>
    <t>ASVB Value Calculator
Self-employment £11,588 (Trotter, Vine et al., 2014) p.14, UK</t>
  </si>
  <si>
    <t xml:space="preserve">See also ASVB Value Calculator – shows the social impact of moving from unemployment to full-time employment       Permanent full-time
employment – working for at least 38 hours per week, and being entitled to sick pay and annual leave (Fujiwara, D., et al. 2017)
</t>
  </si>
  <si>
    <t xml:space="preserve"> 'This outcome shows the social impact of participants moving from unemployment (due to an illness, injury or disability) to employment (full-time, part-time or self-employment).' Fujiwara, D., et al. (2017) ASVB User Guide. Australia
	</t>
  </si>
  <si>
    <t>AURIN – Australian Urban Research Infrastructure Network</t>
  </si>
  <si>
    <t>ABS Index of Employment and Occupation by Post Code –  https://www.abs.gov.au/AUSSTATS/abs@.nsf/DetailsPage/2033.0.55.0012016?OpenDocument 
AURIN – ABS, (2016): SA2 National Regional Profile (NRP) – Economy 2009 – 2013; ABS, (2016): SA2 National Regional Profile (NRP) – People/Population 2009 – 2013</t>
  </si>
  <si>
    <t>Housing providers (if moves are internal to the organisation)</t>
  </si>
  <si>
    <t>AURIN – ABS, (2016): SA2 NRP – Economy 2009 – 2013; ABS, (2016): SA2 NRP – People/Population 2009 – 2013</t>
  </si>
  <si>
    <t>NRP – National Regional Profile</t>
  </si>
  <si>
    <t>Water-efficient appliances and fixtures</t>
  </si>
  <si>
    <t>Water-efficient planting</t>
  </si>
  <si>
    <t>Thermal comfort (e.g. microclimate)</t>
  </si>
  <si>
    <t xml:space="preserve">Whole-of-life performance </t>
  </si>
  <si>
    <t xml:space="preserve">Appropriate level of residential density </t>
  </si>
  <si>
    <t>Walkability (e.g. to corner store, green space)</t>
  </si>
  <si>
    <t xml:space="preserve">Connectivity to biodiverse spaces </t>
  </si>
  <si>
    <t>Area of habitat created/retained</t>
  </si>
  <si>
    <t>New design and audits/retrofit of existing. Economic return to be calculated on a case-by-case basis</t>
  </si>
  <si>
    <t>Design guidelines for new; audits for existing. Economic return and emissions reduction to be calculated on a case-by-case basis
Green Star rating</t>
  </si>
  <si>
    <t>Design guidelines for new; audits for existing (e.g. address coastal, bushfire  and resource-efficiency issues)</t>
  </si>
  <si>
    <t>Audits and surveys</t>
  </si>
  <si>
    <t>For example, see WA Climate Policy 2020 –  https://www.wa.gov.au/system/files/2020-12/Western_Australian_Climate_Policy.pdf</t>
  </si>
  <si>
    <t>Moderate building and precinct microclimate (e.g. irregular design enabling shade). Access to fresh air, open spaces, ventilation and sunlight. Choice between active and passive systems. Brisbane City Council’s Buildings that Breathe initiative captures key issues</t>
  </si>
  <si>
    <t>Immediate access to resident-based planting/gardening options; internal planting options (e.g. balconies, internal green streets). Precinct access to biodiverse green space</t>
  </si>
  <si>
    <t>ABS – total persons, per household at area level and population density</t>
  </si>
  <si>
    <t>Would require housing provider/tenant surveys of individual dwellings</t>
  </si>
  <si>
    <t>AIHW NSHS (2019)
AURIN
Public transport authorities</t>
  </si>
  <si>
    <t>ASVB – Australian Social Value Bank</t>
  </si>
  <si>
    <t xml:space="preserve">Implement passive design and low emissions technology in line with Australian Government targets – see Department of Industry, Energy and Emissions Reduction (2022)
Australia's long-term emissions reduction plan: A whole-of-economy plan to achieve net zero emissions by 2050. Australia
	</t>
  </si>
  <si>
    <t>AIHW (NSHS) (2019) – thermal comfort</t>
  </si>
  <si>
    <t>AIHW National Social Housing Survey (NSHS) (2019) – Social tenant amenity rating – water efficiency –  file://staff.ad.griffith.edu.au/ud/fr/s1695449/Documents/1.81%20Investment/References/AIHW%202019%20NSHS%20hou-311.pdf
State-based water authorities</t>
  </si>
  <si>
    <t>AURIN – Public Health Information Development Unit (2014): SD Access to Services, Financial and Transport Barriers.
AIHW NSHS (2019) – Proximity to facilities and services (shops and banking)</t>
  </si>
  <si>
    <t>CMHC – Canada Mortgage and Housing Corporation</t>
  </si>
  <si>
    <t xml:space="preserve">D6 HEALTH AND WELLBEING DOMAIN </t>
  </si>
  <si>
    <t>Improved Health
(physical and mental)</t>
  </si>
  <si>
    <t xml:space="preserve">Reduced demand for health services </t>
  </si>
  <si>
    <t xml:space="preserve">Decrease in hospitalisations and emergency admissions </t>
  </si>
  <si>
    <t>Housing providers
AURIN – ABS BO1 Population Density by SA1.
AIHW NSHS (2019)</t>
  </si>
  <si>
    <t>AIHW Aboriginal and Torres Strait Islander Health Performance Framework –  https://www.indigenoushpf.gov.au/</t>
  </si>
  <si>
    <t>Self-reported illicit substances 
Suvreys, interviews and case studies</t>
  </si>
  <si>
    <t>Self-reported improvement in mental health – Parsell, C., et al. (2015). Brisbane Common Ground Evaluation findings, p.92</t>
  </si>
  <si>
    <t>Parsell, C., et al. (2015). Brisbane Common Ground Evaluation findings. Health savings – $832,335</t>
  </si>
  <si>
    <t xml:space="preserve">Rent increases are minor, which gives us the financial ability to cover other areas like our health and better nutrition. Churches of Christ Housing Services, 2016, p.50 </t>
  </si>
  <si>
    <t>Parsell, C., et al. (2015). Brisbane Common Ground Evaluation findings,          pp.98-100</t>
  </si>
  <si>
    <t>Parsell, C., et al. (2015). Brisbane Common Ground Evaluation findings,         pp.94-97</t>
  </si>
  <si>
    <t>Parsell, C., et al. (2015). Brisbane Common Ground Evaluation findings, pp.89-91 – self-reported improvement in health</t>
  </si>
  <si>
    <t>The Scottish Government, 2008
Wood, Flatau et al., 2016
Bridge, Flatau et al., 2003
Attribution References – Nature of Attribution</t>
  </si>
  <si>
    <t>Emergency Department Information System</t>
  </si>
  <si>
    <t>Health data linkage service (e.g. WA Telethon Kids Institute Developmental Pathways Project)</t>
  </si>
  <si>
    <t>WA Hospital Morbidity Data System; AIHW; AURIN – Torrens University Australia – Public Health Information Development Unit, (2014): SA2 Chronic Disease – Modelled Estimate</t>
  </si>
  <si>
    <t>AIHW – publish national life expectancy</t>
  </si>
  <si>
    <t>Hospital and Health Department records (e.g. Emergency Department Information System, Mental Health Information System)</t>
  </si>
  <si>
    <t xml:space="preserve">Subjective wellbeing </t>
  </si>
  <si>
    <t>Levels of physical activity (e.g. walkability, active transport options, access to facilities)</t>
  </si>
  <si>
    <t xml:space="preserve">UK Social Value Bank –  https://stage.hact.org.uk/tools-and-services/uk-social-value-bank/ 
</t>
  </si>
  <si>
    <t xml:space="preserve">Walkability Reports (e.g. Gunn, L., et al. (2020 a and b). Measuring liveability for the 21 largest cities in Australia: Liveability reports for Brisbane and Perth. Melbourne, Centre for Urban Research
Qld Globe –  https://qldglobe.information.qld.gov.au/
</t>
  </si>
  <si>
    <r>
      <t xml:space="preserve">£428 (Fujiwara, 2014)                                   </t>
    </r>
    <r>
      <rPr>
        <b/>
        <i/>
        <sz val="10"/>
        <color rgb="FF000000"/>
        <rFont val="Calibri"/>
        <family val="2"/>
      </rPr>
      <t xml:space="preserve">1.7 times conversion applied </t>
    </r>
  </si>
  <si>
    <t>Quality of paths (e.g. shade, grade)
Cost of access</t>
  </si>
  <si>
    <t xml:space="preserve">State and Territory Health Department Population annual surveys 
</t>
  </si>
  <si>
    <t>AURIN – ABS (2011): SA2 SEIFA 2011 – The Index of Relative Socio-Economic Disadvantage (IRSD)</t>
  </si>
  <si>
    <t>AIHW NSHS (2019) – Satisfaction with safety/security of the neighbourhood</t>
  </si>
  <si>
    <t xml:space="preserve">Quantitative Assessment Findings         (e.g. CBA, SROI or WVA) From: </t>
  </si>
  <si>
    <t>Household needs met regarding size and type of household</t>
  </si>
  <si>
    <t>Proportion in need of housing compared to those assisted</t>
  </si>
  <si>
    <t>Dwellings meeting Livable Housing Australia Platinum  standard</t>
  </si>
  <si>
    <t>Datasets and surveys (e.g. AIHW Measure 2.02 Access to functioning housing with utilities)
NSHS (2019)
AIHW Aboriginal and Torres Strait Islander Health Performance Framework –  https://www.indigenoushpf.gov.au/</t>
  </si>
  <si>
    <t xml:space="preserve">ACOSS – Australian Council of Social Service </t>
  </si>
  <si>
    <t>QCOSS – Queensland Council of Social Service</t>
  </si>
  <si>
    <t>CBA – Cost benefit analysis</t>
  </si>
  <si>
    <t>No garden £783 (Fujiwara, 2013) p.25
AIHW 2015 Measure 1.13 Community connectedness; 2.01 Housing &amp; 2.02 Access to functioning housing with utilities
AIHW Aboriginal and Torres Strait Islander Health Performance Framework –  https://www.indigenoushpf.gov.au/</t>
  </si>
  <si>
    <t>AIHW (NSHS) 2019</t>
  </si>
  <si>
    <t>Maclennan, 2008                                      Parsell, Petersen et al., 2015</t>
  </si>
  <si>
    <t>ABS, 2016 
AIHW, 2015
Kearns, Petticrew et al., 2008a
Maclennan, 2008</t>
  </si>
  <si>
    <t>Pandemic hygiene awareness</t>
  </si>
  <si>
    <t>Design and diversity of housing product – Queensland Treasury (2021). Invitation for expressions of interest: Housing Investment Fund: Accelerating innovative housing partnerships. Brisbane, Australia</t>
  </si>
  <si>
    <t xml:space="preserve">Surveys, interviews and case studies
Parsell, C., et al. (2015). Brisbane Common Ground Evaluation findings
AIHW NSHS (2019) – Tenant satisfaction </t>
  </si>
  <si>
    <t xml:space="preserve">Design and diversity of housing product – Queensland Treasury (2021). Invitation for expressions of interest: Housing Investment Fund: Accelerating innovative housing partnerships. Brisbane, Australia
Queensland Department of Communities, H. a. D. E. (2021). Queensland Housing Investment Growth Initiative – QuickStarts Qld. Brisbane, Australia
	</t>
  </si>
  <si>
    <t>Pawson, Milligan et al., 2015
Carter, Polevychuk et al., 2009
CMHC, 2011
Parsell et al., 2014
Phibbs and Young, 2005
Parsell, Petersen et al., 2015</t>
  </si>
  <si>
    <t>Kearns, Petticrew et al., 2008b
Pawson, Milligan et al., 2015</t>
  </si>
  <si>
    <t>The Scottish Government, 2011a</t>
  </si>
  <si>
    <t>Prioritise appropriate site selection. Connection for informal and formal opportunities (e.g. meeting places, green space, active recreation). Onsite community spaces (each level and whole building) are important</t>
  </si>
  <si>
    <t>Low maintenance for physical durability, yet resident-friendly materials and fixtures. Minimise disruption to residents of maintenance works through building design. Cost-effective consumables (e.g. light bulbs)</t>
  </si>
  <si>
    <t>Connection to active and passive exercise options – walkways, bike ways, public pools. Design to allow for social distancing without undue isolation. Healthier environment, healthy people and takes burden off the system over time</t>
  </si>
  <si>
    <t>Screen entry doors to enable ventilation, security and connection. Safe environment (e.g. sight lines, no dead ends, no traps – especially external fire stairs – and no blind corners). Controlled access to building and floor. Community engagement and buy-in</t>
  </si>
  <si>
    <t>Circulation to enable social distancing. Access to green space from a unit / in building. Access to wi-fi. Enable safe social connection</t>
  </si>
  <si>
    <t>Touch-free entry. Role of onsite manager is important. Inner-city precincts challenged by COVID-19 in terms of loss of workers/economic activity</t>
  </si>
  <si>
    <t>Access to passive ventilation and natural lighting. Sell affordable living, not just affordable housing. Ability to modify for unknown future needs</t>
  </si>
  <si>
    <t>Building owners / managers to ensure cultural-appropriate homes</t>
  </si>
  <si>
    <t xml:space="preserve">Access to use of the building should be the same in terms of  privacy, security, safety and convenience. Critical in a mixed-tenure environment – further research needed </t>
  </si>
  <si>
    <t>Onsite management. Build relationships and engagement with local police. Minimise possible impacts via design. Follow crime prevention through Environmental Design Guidelines (e.g. those developed for Queensland)</t>
  </si>
  <si>
    <t>Onsite managers and service providers. Build relationships with neighbours and community. Provide easy access for service and social support providers (e.g. OZHarvest, BlueCare, Second Chance)</t>
  </si>
  <si>
    <t>Match resident needs with locations. Maintain diversity</t>
  </si>
  <si>
    <t>Links to locational needs – Queensland Treasury (2021). Invitation for expressions of interest: Housing Investment Fund: Accelerating innovative housing partnerships. Brisbane, Australia 
Queensland Department of Communities, H. a. D. E. (2021). Queensland Housing Investment Growth Initiative – QuickStarts Qld. Brisbane, Australia
AIHW NSHS (2019) Section 5 Satisfaction with Location</t>
  </si>
  <si>
    <t>AURIN Regional Australia Institute (2011): LGA Human Capital Indicators 2011 –  adaption, innovation and resilience in workforce</t>
  </si>
  <si>
    <t xml:space="preserve"> 'This outcome shows the social impact of the participant receiving support to help them prepare for work.' ASVB     
AURIN Regional Australia Institute (2011): LGA Human Capital Indicators 2011 –  adaption, innovation and resilience in workforce</t>
  </si>
  <si>
    <t>Queensland Treasury (2021). Invitation for expressions of interest: Housing Investment Fund: Accelerating innovative housing partnerships, Brisbane, Australia</t>
  </si>
  <si>
    <t>Links to tenancy sustainment –  Queensland Treasury (2021). Invitation for expressions of interest: Housing Investment Fund: Accelerating innovative housing partnerships, Brisbane, Australia</t>
  </si>
  <si>
    <t>Link to Queensland Treasury (2021)  Invitation for expressions of interest: Housing Investment Fund: Accelerating innovative housing partnerships,     Brisbane, Australia</t>
  </si>
  <si>
    <t>Dwelling and tenancy</t>
  </si>
  <si>
    <t xml:space="preserve">Livability </t>
  </si>
  <si>
    <t xml:space="preserve">Improved family engagement </t>
  </si>
  <si>
    <t xml:space="preserve">Prevented re-offending </t>
  </si>
  <si>
    <t>Reduction in reporting and arrest rates</t>
  </si>
  <si>
    <t>Resident / household empowerment (e.g. involvement in administration and maintenance)</t>
  </si>
  <si>
    <t>Interaction in the local businesses etc. (e.g. leading to innovation)</t>
  </si>
  <si>
    <t>UK Social Value Bank
AIHW National Social Housing Survey (NSHS) (2019)
Business plan; organisational data</t>
  </si>
  <si>
    <t>ASVB Value Calculator
State and Territory-based correction authorities
AIHW Aboriginal and Torres Strait Islander Health Performance Framework – https://www.indigenoushpf.gov.au/</t>
  </si>
  <si>
    <t xml:space="preserve">State datasets (e.g. AIHW Aboriginal and Torres Strait Islander Health Performance Framework) –  https://www.indigenoushpf.gov.au/
</t>
  </si>
  <si>
    <t>ABS –  Australian Bureau of Statistics</t>
  </si>
  <si>
    <t>Proxy – number of times victimised in own neighbourhood in last 12 months (Fauth et al.)</t>
  </si>
  <si>
    <t>Spence, 1993
Hay, 2005
Bridge, Flatau et al., 2003
Fujiwara, 2013 &amp; 2014
Maclennan, 2008
Carter and Polevychok, 2004
CMHC, 2011</t>
  </si>
  <si>
    <t>Community spaces for resident-led activities. Precinct-based spaces are important (e.g. access to youth space, libraries)</t>
  </si>
  <si>
    <t>Orr, Feins et al., 2003
Maclennan, 2008
Kliger, Large et al., 2011
AIHW, 2015</t>
  </si>
  <si>
    <t>AIHW, 2015                                         Anderson, Charles et al., 2003 
Fauth, Leventhal et al., 2004       Maclennan, 2008                                        Kling, Ludwig et al., 2005                       Ludwig, Duncan et al., 2001                       Phibbs and Young, 2005                         CMHC, 2011                                     Maclennan, 2008                                        Fauth, Leventhal et al., 2004</t>
  </si>
  <si>
    <t>CMHC – Canada Mortgage and Housing Corproation</t>
  </si>
  <si>
    <t>State and Territory-based Housing Authority databases</t>
  </si>
  <si>
    <t>ABS National Aboriginal and Torres Strait Islander Social Survey
NSHS (2019)</t>
  </si>
  <si>
    <t xml:space="preserve">NSHS (2019) – Influences on current employment situation of social housing respondent </t>
  </si>
  <si>
    <t>NSHS (2019) – Satisfaction with amenities</t>
  </si>
  <si>
    <t>AHURI Final Report No. 257 –  https://www.ahuri.edu.au/research/final-reports/257</t>
  </si>
  <si>
    <t xml:space="preserve">WA Dept of Corrective Services (WADoC) Rate of Return for adults and young people
ABS working with corrective services agencies to explore ways to improve prisoner flow data (Steering Committee for the Review of Government Service Provision, 2016)
</t>
  </si>
  <si>
    <t>NSHS (2019) – Safety / security of home</t>
  </si>
  <si>
    <t xml:space="preserve">AIHW Aboriginal and Torres Strait Islander Health Performance Framework </t>
  </si>
  <si>
    <t xml:space="preserve">Sense of personal safety </t>
  </si>
  <si>
    <t>Reduced problems with teenagers hanging around</t>
  </si>
  <si>
    <t>Unwanted noise (e.g. road, rail, nightclubs)</t>
  </si>
  <si>
    <t xml:space="preserve">Informal contact with neighbours outside building –  chatting in the street </t>
  </si>
  <si>
    <t xml:space="preserve">Meets friends regularly –  number of acquaintances  </t>
  </si>
  <si>
    <t xml:space="preserve">Neighbours – ability to help each other </t>
  </si>
  <si>
    <t>£3,555 No litter problems (Trotter, Vine et al., 2014) p.14</t>
  </si>
  <si>
    <t>£5,340 Police doing a good job; £11,873 Not worried about crime (Trotter, Vine et al., 2014) p.14. UK</t>
  </si>
  <si>
    <t>Self-reporting
Surveys, interviews and case studies</t>
  </si>
  <si>
    <t>(Churches of Christ Housing Services 2016) p.16; Nic’s Story: ‘I feel safe here. I’ve got no problems and I get on pretty well. I’ve got a balcony that looks down the road and you can just see the city from here. It’s good.’</t>
  </si>
  <si>
    <r>
      <t xml:space="preserve">£3,000 Value associated with being able to socialise and meet on most days (Fujiwara, 2013) p.35
£3,848 Talks to neighbours regularly (Trotter, Vine et al., 2014) p.14 </t>
    </r>
    <r>
      <rPr>
        <b/>
        <i/>
        <sz val="10"/>
        <color theme="1"/>
        <rFont val="Calibri"/>
        <family val="2"/>
      </rPr>
      <t>1.7 times conversion applied</t>
    </r>
  </si>
  <si>
    <r>
      <t xml:space="preserve">£5,760 No problems with teenagers hanging around (Trotter, Vine et al., 2014) p.14
Neighbour noise £1,068 (Fujiwara, 2013) p.25 </t>
    </r>
    <r>
      <rPr>
        <b/>
        <i/>
        <sz val="10"/>
        <color theme="1"/>
        <rFont val="Calibri"/>
        <family val="2"/>
      </rPr>
      <t>1.7 times conversion applied</t>
    </r>
  </si>
  <si>
    <r>
      <t xml:space="preserve">£6,403 No problem with anti-social behaviour (Trotter, Vine et al., 2014) p.14 </t>
    </r>
    <r>
      <rPr>
        <b/>
        <i/>
        <sz val="10"/>
        <color theme="1"/>
        <rFont val="Calibri"/>
        <family val="2"/>
      </rPr>
      <t>1.7 times conversion applied</t>
    </r>
  </si>
  <si>
    <r>
      <t xml:space="preserve">£650 (Fujiwara, 2013) p.34. UK </t>
    </r>
    <r>
      <rPr>
        <b/>
        <i/>
        <sz val="10"/>
        <color rgb="FF000000"/>
        <rFont val="Calibri"/>
        <family val="2"/>
      </rPr>
      <t>1.7 times conversion applied</t>
    </r>
    <r>
      <rPr>
        <sz val="10"/>
        <color rgb="FF000000"/>
        <rFont val="Calibri"/>
        <family val="2"/>
      </rPr>
      <t xml:space="preserve">
£6,500 – Regeneration of local area (Fujiwara, 2013) p.34. UK</t>
    </r>
  </si>
  <si>
    <t>Maclennan, 2008
Phibbs and Young, 2005
Orr, Feins et al., 2003
AIHW, 2015</t>
  </si>
  <si>
    <t>Kearns, Petticrew et al., 2008 a &amp; c
AIHW, 2015
Maclennan, 2008
Bridge, Flatau et al., 2003
Fujiwara, 2013</t>
  </si>
  <si>
    <t>CHP complaints and disruptive behaviour records 
Police records</t>
  </si>
  <si>
    <t>CHP complaints and disruptive behaviour records
Police records</t>
  </si>
  <si>
    <t>AURIN – Torrens University Australia – Public Health Information Development Unit (2014): SD Community Strength.
Australian Aboriginal and Torres Strait Islander Social Survey
NSHS (2019)</t>
  </si>
  <si>
    <t>NSHS (2019)</t>
  </si>
  <si>
    <t xml:space="preserve">AURIN 
ABS
State police services
Australian Aboriginal and Torres Strait Islander Social Survey
AIHW National Social Housing Survey (NSHS) (2019)
</t>
  </si>
  <si>
    <t xml:space="preserve">Neighbourhood wellbeing </t>
  </si>
  <si>
    <t xml:space="preserve">Qualitative Assessment Findings From:  </t>
  </si>
  <si>
    <t>Satisfaction with neigbourhood cleanliness / garbage collection</t>
  </si>
  <si>
    <t>Reduced problems
with vandalism / graffiti</t>
  </si>
  <si>
    <t xml:space="preserve">Perceived overall quality of neighbourhood </t>
  </si>
  <si>
    <t xml:space="preserve">No problem with  vandalism / graffiti </t>
  </si>
  <si>
    <t>UK Social Value Bank
Surveys; audits</t>
  </si>
  <si>
    <r>
      <t>£1,747 Good neighbourhood (Trotter, Vine et al., 2014). UK</t>
    </r>
    <r>
      <rPr>
        <b/>
        <i/>
        <sz val="10"/>
        <color theme="1"/>
        <rFont val="Calibri"/>
        <family val="2"/>
      </rPr>
      <t xml:space="preserve"> 1.7 times conversion applied</t>
    </r>
    <r>
      <rPr>
        <sz val="10"/>
        <color theme="1"/>
        <rFont val="Calibri"/>
        <family val="2"/>
      </rPr>
      <t xml:space="preserve">
£6,500 Regeneration of local area (Fujiwara, 2013). UK</t>
    </r>
  </si>
  <si>
    <r>
      <t xml:space="preserve">£4,072 No problem with vandalism / graffiti (Trotter, Vine et al., 2014) p.14 UK </t>
    </r>
    <r>
      <rPr>
        <b/>
        <i/>
        <sz val="10"/>
        <color theme="1"/>
        <rFont val="Calibri"/>
        <family val="2"/>
      </rPr>
      <t>1.7 times conversion applied</t>
    </r>
    <r>
      <rPr>
        <sz val="10"/>
        <color theme="1"/>
        <rFont val="Calibri"/>
        <family val="2"/>
      </rPr>
      <t xml:space="preserve">
£436 Vandalism (Fujiwara, 2013) p.25</t>
    </r>
  </si>
  <si>
    <t>Surveys and interviews
AIHW National Social Housing Survey (NSHS) (2019)</t>
  </si>
  <si>
    <t>Surveys and interviews
AIHW NSHS (2019)</t>
  </si>
  <si>
    <t>Surveys, interviews and case studies
Pre- and post-regeneration surveys and interviews</t>
  </si>
  <si>
    <t>The Scottish Government, 2008 &amp; 2011a</t>
  </si>
  <si>
    <t>AIHW NSHS (2019)
AIHW Aboriginal and Torres Strait Islander Health Performance Framework –  https://www.indigenoushpf.gov.au/</t>
  </si>
  <si>
    <t>Surveys, interviews and case studies including pre- and post-occupancy surveys and interviews</t>
  </si>
  <si>
    <t xml:space="preserve">Clear and obvious entry points and equitable access. Vehicle access/parking/drop-off and collection points essential for support services, maintenance people and visitors. Dual lifts (minimum) required, with no step-ups. Accessibility to become part of the commercial cost model. Accessible ground plane (e.g. level thresholds, compliant ramps, extended ends of balustrades and wayfinding elements). Choice of site and traffic planning to enable accessibility. Access to public, active and passive transport options. Going beyond the wheelchair is important (e.g. consider hearing- and vision-impaired) </t>
  </si>
  <si>
    <t>Consider for both day and night. See CPTED guidelines. Swipe-card entry to resident level. Build relationship with police</t>
  </si>
  <si>
    <t>Onsite housing and support services management. Integrate with offsite providers (e.g. OZHarvest, BlueCare)</t>
  </si>
  <si>
    <t>Include food outlets and supermarkets, onsite and offsite community, social and health support services, wi-fi</t>
  </si>
  <si>
    <t>CPTED – Crime Prevention Through Environmental Design</t>
  </si>
  <si>
    <t>Improved housing options for those with disability, visitors and service providers, and for general population (e.g. short-term incapacity, child rearing, ageing in place). Clear, obvious and equitable access – beyond wheelchair is important (e.g. to include hearing, sight loss, dementia)</t>
  </si>
  <si>
    <t>Vehicle access/parking/drop-off and collection points essential for support services, maintenance people and visitors</t>
  </si>
  <si>
    <t>Placemaking</t>
  </si>
  <si>
    <r>
      <rPr>
        <b/>
        <sz val="11"/>
        <color theme="1"/>
        <rFont val="Calibri"/>
        <family val="2"/>
        <scheme val="minor"/>
      </rPr>
      <t>Transformational narratives</t>
    </r>
    <r>
      <rPr>
        <sz val="11"/>
        <color theme="1"/>
        <rFont val="Calibri"/>
        <family val="2"/>
        <scheme val="minor"/>
      </rPr>
      <t xml:space="preserve"> – A key need is to understand individual transformational narratives to ensure the focus on the individual and households for whom social affordable housing (SAH) is needed. These can be used to better understand the unique value and impact of access to housing. Such value is well-described at provider websites including the enhancement of educational and employment opportunities and social engagement.
</t>
    </r>
    <r>
      <rPr>
        <b/>
        <sz val="11"/>
        <color theme="1"/>
        <rFont val="Calibri"/>
        <family val="2"/>
        <scheme val="minor"/>
      </rPr>
      <t xml:space="preserve">Network participants </t>
    </r>
    <r>
      <rPr>
        <sz val="11"/>
        <color theme="1"/>
        <rFont val="Calibri"/>
        <family val="2"/>
        <scheme val="minor"/>
      </rPr>
      <t xml:space="preserve">– highlighting and addressing relevant capacity and capability issues for the sector. Previous SBEnrc research to map the SAH networks in Queensland and Western Australia highlighted the expansive nature of the network. Engagement across each of these groups is required to ensure effective policy and housing delivery.  
</t>
    </r>
    <r>
      <rPr>
        <b/>
        <sz val="11"/>
        <color theme="1"/>
        <rFont val="Calibri"/>
        <family val="2"/>
        <scheme val="minor"/>
      </rPr>
      <t>Innovation</t>
    </r>
    <r>
      <rPr>
        <sz val="11"/>
        <color theme="1"/>
        <rFont val="Calibri"/>
        <family val="2"/>
        <scheme val="minor"/>
      </rPr>
      <t xml:space="preserve"> – this worksheet highlights opportunities to expedite delivery – identified from the international and Australian case studies conducted for this research around tenure diversity and tenure mix.</t>
    </r>
  </si>
  <si>
    <t>SBEnrc – Sustainable Built Environment National Research Centre, Australia</t>
  </si>
  <si>
    <t xml:space="preserve">Quantitative Assessment Findings           (e.g. CBA, SROI or WVA) From: </t>
  </si>
  <si>
    <t>Qualitative Assessment Findings From:</t>
  </si>
  <si>
    <t>Reported benefit –  community and culture</t>
  </si>
  <si>
    <t>Reported benefit –  economy</t>
  </si>
  <si>
    <t>Reported benefit –  education</t>
  </si>
  <si>
    <t>Reported benefit –  employment</t>
  </si>
  <si>
    <t>Reported benefit –  environment</t>
  </si>
  <si>
    <t>Reported benefit – health and wellbeing</t>
  </si>
  <si>
    <t>Reported benefit – housing</t>
  </si>
  <si>
    <t>Reported benefit – social engagement</t>
  </si>
  <si>
    <t>Reported benefit – urban amenity</t>
  </si>
  <si>
    <t>Interviews, surveys and case studies
CHP annual reports
AIHW National Social Housing Survey (NSHS) (2019)
Video links of individuals' stories</t>
  </si>
  <si>
    <t>Interviews, surveys and case studies
CHP annual reports
AIHW NSHS (2019)
Video links of individuals' stories</t>
  </si>
  <si>
    <t>(Common Ground Queensland 2016)  Lisa’s story: 'Lisa heard about Common Ground from another client in rehab and with the help of a nurse who advocated on her behalf she was able to secure accommodation in the newly built South Brisbane apartment complex. This was a major turning point in Lisa’s recovery, as was gaining some employment at the rehab centre as a cook. Lisa feels that Common Ground has given her a strong foundation, independence, safety, comfort and a private place to retreat to when she needs her own space.'</t>
  </si>
  <si>
    <t>(Churches of Christ Housing Services 2016) p.16 Nic’s Story: ‘I feel safe here. I’ve got no problems and I get on pretty well. I’ve got a balcony that looks down the road and you can just see the city from here. It’s good.’</t>
  </si>
  <si>
    <t>CHP annual reports</t>
  </si>
  <si>
    <t>Commonwealth (e.g. national leadership and engagement)</t>
  </si>
  <si>
    <t xml:space="preserve">Peak / Industry Associations (e.g. active member engagement) </t>
  </si>
  <si>
    <t>Advocates (e.g.  representation resources)</t>
  </si>
  <si>
    <t>NfPs (e.g. financial capacity)</t>
  </si>
  <si>
    <t>Research (e.g. sufficent funding for engagement)</t>
  </si>
  <si>
    <t>Industry (e.g. availability of labour and materials)</t>
  </si>
  <si>
    <t>Informal (e.g. capacity to fill gaps in system)</t>
  </si>
  <si>
    <t>State Government (e.g. agile engagement)</t>
  </si>
  <si>
    <t>Peak / Industry Associations (e.g. effective representation)</t>
  </si>
  <si>
    <t>CHPs (e.g. systems and training)</t>
  </si>
  <si>
    <t>NfPs (e.g. systems and training)</t>
  </si>
  <si>
    <t>Research (e.g. industry-focused research on current needs)</t>
  </si>
  <si>
    <t>Industry (e.g. training, transition to prefab)</t>
  </si>
  <si>
    <t>Philanthropic (e.g. effective partnerships)</t>
  </si>
  <si>
    <t>Informal (e.g. ability to fill gaps in system)</t>
  </si>
  <si>
    <t>Philanthropic (e.g. effective engagement)</t>
  </si>
  <si>
    <t>Budget and policy papers and outcomes supporting pipeline of housing construction which meets demographic and locational needs</t>
  </si>
  <si>
    <t xml:space="preserve">Extent of capacity (e.g. Bank of Mum and Dad) </t>
  </si>
  <si>
    <t>Pipeline fo new builds to meet demographic and locational needs; ability to attract and retain appropriate staff</t>
  </si>
  <si>
    <t>Retention of research staff; building research capacity (e.g. higher degree research outcomes)</t>
  </si>
  <si>
    <t>NfP – Not-for-profit</t>
  </si>
  <si>
    <t>SAH – Social and affordable housing</t>
  </si>
  <si>
    <t>Initiatives (e.g. shared equity scheme (Help to Buy), the National Housing Supply and Affordability Council, and the Housing Australia Future Fund)</t>
  </si>
  <si>
    <t>SBEnrc housing projects –  www.sbenrc.com.au
AHURI – https://www.ahuri.edu.au/research/housing
BCEC –  https://bcec.edu.au/themes/housing-pathways-and-affordability/</t>
  </si>
  <si>
    <t xml:space="preserve">AHURI – Australian Housing And Urban Research Institute </t>
  </si>
  <si>
    <t>BCEC – Bankwest Curtin Economics Centre</t>
  </si>
  <si>
    <t>Election outcomes, community surveys and advocacy group engagement</t>
  </si>
  <si>
    <t>Performance surveys and membership engagement</t>
  </si>
  <si>
    <r>
      <t>Workforce efficiency (e.g. Productivity Commission reporting</t>
    </r>
    <r>
      <rPr>
        <sz val="10"/>
        <color rgb="FFFF0000"/>
        <rFont val="Calibri (Body)"/>
      </rPr>
      <t>?</t>
    </r>
    <r>
      <rPr>
        <sz val="10"/>
        <color theme="1"/>
        <rFont val="Calibri"/>
        <family val="2"/>
        <scheme val="minor"/>
      </rPr>
      <t>)</t>
    </r>
  </si>
  <si>
    <t xml:space="preserve">Elections, surveys, interviews and case studies (e.g. satisfaction with policy outcomes) </t>
  </si>
  <si>
    <t xml:space="preserve">Elections, surveys, interviews and case studies (e.g. satisfaction with planning outcomes) </t>
  </si>
  <si>
    <t>Surveys (e.g. understanding of SAH network needs)</t>
  </si>
  <si>
    <t>Surveys re workforce retention and satisfaction and attractiveness of industry for new starters</t>
  </si>
  <si>
    <t>State Government (e.g. financial resources, active partnerships)</t>
  </si>
  <si>
    <t>CHPs (e.g. financial capacity)</t>
  </si>
  <si>
    <t>Meeting State Government regulatory requirements; meeting delivery targets; ability to meet locational needs for service</t>
  </si>
  <si>
    <t>Planning schemes; land availability to meet pipeline of housing needs in LGA</t>
  </si>
  <si>
    <t>Meeting government regulatory requirements; meeting delivery targets; ability to meet locational needs for service</t>
  </si>
  <si>
    <t>ABS and other government data re
labour availability and materials supply; pipeline of construction work</t>
  </si>
  <si>
    <t>Pipeline for new builds to meet demographic and locational needs; ability to attract and retain appropriate staff</t>
  </si>
  <si>
    <t>CHIA NSW – Community Housing Industry Association NSW</t>
  </si>
  <si>
    <t>Co-creating for public investment with industry, NfPs and philanthropists for inclusive, innovation-led growth</t>
  </si>
  <si>
    <t>Social enterprise approach with profits re-investing in new projects</t>
  </si>
  <si>
    <t>Collaboration (i.e. co-design) with residents and housing managers</t>
  </si>
  <si>
    <t xml:space="preserve">Targets and successful outcomes for social mix in medium- and high-density housing 
</t>
  </si>
  <si>
    <t xml:space="preserve">Target % reduction in annual real cost of services in 1, 5 and 10 years after rollout
</t>
  </si>
  <si>
    <t xml:space="preserve">Embed measures that ensure land / assets continue to be used for affordable housing
</t>
  </si>
  <si>
    <t>Monitor and maintain housing affordability in areas of urban regeneration</t>
  </si>
  <si>
    <t>Meeting strategy targets as part of business / strategy planning</t>
  </si>
  <si>
    <t>Performance to targets for tenure diversity in medium- and high-density housing – (i) social, (ii) affordable rental and (iii) affordable purchase as part of business / strategy planning</t>
  </si>
  <si>
    <t>Performance to targets for social mix in medium- and high-density housing – (i) social, (ii) affordable rental and (iii) affordable purchase as part of business / strategy planning</t>
  </si>
  <si>
    <t xml:space="preserve">Establish and meet stretch targets  </t>
  </si>
  <si>
    <t xml:space="preserve">Meeting or exceeding cost reductions for residents </t>
  </si>
  <si>
    <t xml:space="preserve">Number of areas of existing social and affordable housing protected in / adjacent to areas of regeneration / redevelopment as part of business / strategy planning
</t>
  </si>
  <si>
    <t>% of social and affordable housing retained in areas of / adjacent to urban regeneration</t>
  </si>
  <si>
    <t>Project officer appointments to address</t>
  </si>
  <si>
    <t>Links to partnerships – Queensland Treasury (2021). Invitation for expressions of interest: Housing Investment Fund: Accelerating innovative housing partnerships. Brisbane, Australia</t>
  </si>
  <si>
    <t>Pre- and post-occupancy assessments for feedback of learnings</t>
  </si>
  <si>
    <t>Surveys, audits and case studies (e.g. satisfaction with outcomes)</t>
  </si>
  <si>
    <t xml:space="preserve">SCENARIO-SPECIFIC TOOLS – PROTOTYPE 1 – FUNDING SOCIAL HOUSING </t>
  </si>
  <si>
    <t>FUNDING SOCIAL HOUSING SCENARIO – QUANTITATIVE RETURNS</t>
  </si>
  <si>
    <t xml:space="preserve">Quantitative Assessment Findings (e.g. CBA, SROI or WVA) From: </t>
  </si>
  <si>
    <t>Improved health
(physical and mental)</t>
  </si>
  <si>
    <t>Design guidelines for new; audits for existing 
Qld Globe Heritage Register and Native Title Determinations –  https://qldglobe.information.qld.gov.au/</t>
  </si>
  <si>
    <t>Design guidelines for new; audits for existing; business planning; organisational data</t>
  </si>
  <si>
    <t xml:space="preserve">Case-specific reports
Design guidelines for new; audits for existing 
Datasets; surveys (e.g. AURIN: Torrens University Australia –  Public Health Information Development Unit, (2014): SD Internet Access at Home
ABS collected in 2011 and 2016 Census. 2011 data available online at suburb level and up
 </t>
  </si>
  <si>
    <t>New design and audits / retrofit  of existing. Economic return / benefit to be calculated on a case-by-case basis from (e.g.) water efficient features; water-sensitive design; grey water re-use; water capture</t>
  </si>
  <si>
    <t>Metres to be travelled</t>
  </si>
  <si>
    <t>New design and audits / retrofit of existing. Economic return to be calculated on a case-by-case basis</t>
  </si>
  <si>
    <t>UK Social Value Bank
Audits; surveys</t>
  </si>
  <si>
    <t>$1,872 per person/yr (Ravi and Reinhardt 2011)
Datasets; surveys</t>
  </si>
  <si>
    <t>Datasets; surveys (e.g. CHP records)</t>
  </si>
  <si>
    <t>Audits; surveys (e.g. AURIN
State and Territory-based Housing Authority databases); 
AIHW housing measures</t>
  </si>
  <si>
    <t>Audits; surveys</t>
  </si>
  <si>
    <t>Damp £1,068; Poor lighting £1,044; Condensation £645; Rot £598 (Fujiwara 2013) p.25
Datasets; surveys</t>
  </si>
  <si>
    <t>Datasets; surveys (e.g. AIHW Measure 2.02 Access to functioning housing with utilities)
AIHW NSHS (2019)
AIHW Aboriginal and Torres Strait Islander Health Performance Framework –  https://www.indigenoushpf.gov.au/</t>
  </si>
  <si>
    <t>Datasets; surveys (e.g. State and Territory-based Housing Authority databases)</t>
  </si>
  <si>
    <t>Audits; surveys (e.g. by CHPs, AIHW, ABS, ACOSS, QCOSS, Anglicare)</t>
  </si>
  <si>
    <t xml:space="preserve">Qld Social Housing Design Guideline 2021, p.20
	</t>
  </si>
  <si>
    <t>Design guidelines; surveys; audits
Greenstart communities rating</t>
  </si>
  <si>
    <t xml:space="preserve">Performance to targets for tenure diversity in medium- and high-density housing –  (i) social, (ii) affordable rental and (iii) affordable purchase as part of business / strategy planning </t>
  </si>
  <si>
    <t>Link to Queensland Treasury (2021). Invitation for expressions of interest: Housing Investment Fund: Accelerating innovative housing partnerships. Brisbane, Australia</t>
  </si>
  <si>
    <t>Use of design to create places / spaces which enable resident engagement (e.g. planting). Create desirable spaces and places</t>
  </si>
  <si>
    <r>
      <t xml:space="preserve">£1,875 Access to internet (Trotter, Vine et al., 2014) p. 15
</t>
    </r>
    <r>
      <rPr>
        <b/>
        <i/>
        <sz val="10"/>
        <color rgb="FF000000"/>
        <rFont val="Calibri"/>
        <family val="2"/>
      </rPr>
      <t>1.7 times conversion applied</t>
    </r>
  </si>
  <si>
    <t xml:space="preserve">Green Star rating – https://new.gbca.org.au/green-star/rating-system/design-and-built/   </t>
  </si>
  <si>
    <t xml:space="preserve">Green Star rating – https://new.gbca.org.au/green-star/rating-system/design-and-built/ </t>
  </si>
  <si>
    <t xml:space="preserve">Implement passive design and low emissions technology in line with Australian Government targets – see Department of Industry, Energy and Emissions Reduction (2022). Australia's long-term emissions reduction plan: A whole-of-economy plan to achieve net zero emissions by 2050. Australia
Green Star rating – https://new.gbca.org.au/green-star/rating-system/design-and-built/
	</t>
  </si>
  <si>
    <t>Housing providers
AURIN – ABS BO1 Population Density by SA1</t>
  </si>
  <si>
    <t>Queensland Department of Communities, H. a. D. E. (2021) Queensland Housing Investment Growth Initiative – QuickStarts Qld. Brisbane, Australia
AIHW Aboriginal and Torres Strait Islander Health Performance Framework –  https://www.indigenoushpf.gov.au/
AIHW NSHS (2019) F132019 Section 4, Satisfaction with Amenities</t>
  </si>
  <si>
    <t>£783 No garden (Fujiwara, 2013) p.25
AIHW 2015 Measure 1.13 Community connectedness; 2.01 Housing &amp; 2.02 Access to functioning housing with utilities
AIHW Aboriginal and Torres Strait Islander Health Performance Framework –  https://www.indigenoushpf.gov.au/</t>
  </si>
  <si>
    <t>Links to locational needs – Queensland Treasury (2021) Invitation for expressions of interest: Housing Investment Fund: Accelerating innovative housing partnerships. Brisbane, Australia
Queensland Department of Communities, H. a. D. E. (2021) Queensland Housing Investment Growth Initiative – QuickStarts Qld. Brisbane, Australia
AIHW NSHS (2019) Section 5, Satisfaction with Location</t>
  </si>
  <si>
    <t>AIHW (2019) Section 4, Satisfaction with Amenities</t>
  </si>
  <si>
    <t xml:space="preserve">AIHW NSHS (2019) Section 4, Satisfaction with Amenities
and
Queensland Department of Communities, H. a. D. E. (2021) Queensland Housing Investment Growth Initiative – QuickStarts Qld. Brisbane, Australia
	</t>
  </si>
  <si>
    <t>Google maps
State government maps (e.g. Qld Globe) –  https://qldglobe.information.qld.gov.au/
Local Authority maps (e.g. Brisbane City Council City Plan) –  https://cityplan.brisbane.qld.gov.au/eplan/#/Property/0
Greenstar – https://new.gbca.org.au/green-star/rating-system/communities/
AURIN walkability index – https://aurin.org.au/</t>
  </si>
  <si>
    <t>Greenstar – https://new.gbca.org.au/green-star/rating-system/communities/</t>
  </si>
  <si>
    <t xml:space="preserve">e.g. CHP surveys  and interviews
</t>
  </si>
  <si>
    <t>e.g. CHP surveys  and interviews</t>
  </si>
  <si>
    <t>Surveys and interviews (e.g. Parsell, C., et al. (2015)) Brisbane Common Ground Evaluation findings</t>
  </si>
  <si>
    <t>AURIN walkability index – https://aurin.org.au/</t>
  </si>
  <si>
    <t>BUILT FORM CLUSTER $ Return on Investment</t>
  </si>
  <si>
    <t>Metres to be travelled and Green Star rating</t>
  </si>
  <si>
    <t>Precinct design, audits and recification – metrics include metres travelled, available modes, access to pools, playing fields</t>
  </si>
  <si>
    <t>Local government (e.g. agile engagement)</t>
  </si>
  <si>
    <t>Local government (e.g. land availability)</t>
  </si>
  <si>
    <t>(National Affordable Housing Consortium 2015) p.17 Tenant Profile: NRAS helped Stephen move himself and his daughter from a caravan to an apartment. Stephen says the reduced rent made it very affordable for them.                                                                                  
(Common Ground Queensland 2016) Nina’s story: ‘Last year Nina’s hours of work were reduced and she was concerned about being able to afford her rent. Common Ground Qld were able to reduce Nina’s rent in line with her reduced income, saving her from becoming homeless again.’</t>
  </si>
  <si>
    <t>(Common Ground Queensland 2016) – Lisa’s story: 'Lisa heard about Common Ground from another client in rehab, and with the help of a nurse who advocated on her behalf she was able to secure accommodation in the newly built South Brisbane apartment complex. This was a major turning point in Lisa’s recovery, as was gaining some employment at the rehab centre as a cook. Lisa feels that Common Ground has given her a strong foundation, independence, safety, comfort and a private place to retreat to when she needs her own space.'</t>
  </si>
  <si>
    <t>(National Affordable Housing Consortium 2015) p.17 Tenant profile: NRAS helped Stephen move himself and his daughter from a caravan to an apartment. Stephen says the reduced rent made it very affordable for them.
(Common Ground Queensland 2016) Nina’s story: ‘Last year Nina’s hours of work were reduced and she was concerned about being able to afford her rent. Common Ground Qld were able to reduce Nina’s rent in line with her reduced income; this saved her from becoming homeless again.'</t>
  </si>
  <si>
    <t>(Common Ground Queensland 2016) Ann’s story: ‘Ann now proudly shares that she has just completed the Ceramics component of the Certificate III in Visual Arts at Queensland TAFE Brisbane Southbank Campus and is one of the key artists and tenant co-facilitators engaged in creating the Cross-link Mosaic Sculpture which will grace Brisbane Common Ground’s public thoroughfare that links Hope Street and Fleet Lane.'</t>
  </si>
  <si>
    <t>AIHW, 2014 &amp; 2015                                  Kliger, Large et al. 2011
Parsell, Petersen et al., 2015              Fujiwara                                                          AIHW, 2015</t>
  </si>
  <si>
    <t>Kliger, Large et al., 2011
AIHW, 2016
CMHC, 2011</t>
  </si>
  <si>
    <t xml:space="preserve">AIHW 2015 Literacy and numeracy; public health information
AIHW National Social Housing Survey (2019)  </t>
  </si>
  <si>
    <t>Fujiwara, 2013                                            Phibbs and Young, 2005
AIHW, 2015</t>
  </si>
  <si>
    <t>AIHW – Austrailan Institute of Health and Welfare</t>
  </si>
  <si>
    <t>Maclennan, 2008
Phibbs and Young, 2005
Hay, 2005
Center for Housing Policy 2007a Brennan, 2011
Ravi and Reinhardt, 2011
Maclennan, 2008
Newman and Harkness, 2000     Partnership for America’s Economic Success (PAES), 2008
Wasserman, Orr, Feins et al., 2003
Zon, Molson et al., 2014
Carter and Polevychok, 2004
CMHC, 2011
Briggs, Ferryman et al., 2008</t>
  </si>
  <si>
    <t>Maclennan, 2008
AIHW, 2015</t>
  </si>
  <si>
    <t>Case-specific reports
Data examples (e.g. AIHW National Social Housing Survey (NSHS) (2019)) – Self-reported benefits gained by tenants living in social housing (more able to start or continue education/training)</t>
  </si>
  <si>
    <t>(Kearns, Petticrew et al., 2008a and b
AIHW, 2015
The Scottish Government, 2011a
Maclennan,2008</t>
  </si>
  <si>
    <t>Pawson, Milligan et al., 2015
AIHW, 2015</t>
  </si>
  <si>
    <t xml:space="preserve">Self-reported prevalence data (e.g. State and Territory-based Health Department – Population annual surveys. Available on internet
</t>
  </si>
  <si>
    <t>Self-reported use of tabacco and illicit substances 
Surveys, interviews and case studies</t>
  </si>
  <si>
    <t>Greater financial flexibility for low income households as a result of alleviating housing stress</t>
  </si>
  <si>
    <t xml:space="preserve">Long-term reduction on number of households requiring housing subsidies </t>
  </si>
  <si>
    <t>Reported benefit – economy</t>
  </si>
  <si>
    <t>Reported benefit – education</t>
  </si>
  <si>
    <t>Reported benefit –   employment</t>
  </si>
  <si>
    <t xml:space="preserve">(i) link to wellbeing valuations
(ii) regulatory and policy impact assessment of policy changes
(iii) evidence of consideration / thinking
Design guidelines for new; audits for existing
</t>
  </si>
  <si>
    <t>Anglicare Housing Affordability Reports –  https://www.anglicare.asn.au/publications/rental-affordability-snapshot-2022/</t>
  </si>
  <si>
    <t xml:space="preserve">Kilometres to be travelled and type of transport required
AURIN for locational information of facilities
Qld Globe for location of facilities 
AIHW – https://indigenoushpf.gov.au/measures/1-13-community-functioning
</t>
  </si>
  <si>
    <t>Anglicare Housing Affordability Reports –  https://www.anglicare.asn.au/publications/rental-affordability-snapshot-2022/
State and Territory-based Housing Authority databases</t>
  </si>
  <si>
    <t>Case-specific reports
Data examples (e.g. AIHW National Social Housing Survey (NSHS) (2019) – Self-reported benefits gained by tenants living in social housing (more able to state or continue education / training)</t>
  </si>
  <si>
    <t>Datasets; surveys; case studies</t>
  </si>
  <si>
    <t xml:space="preserve">UK Social Value Bank – https://stage.hact.org.uk/tools-and-services/uk-social-value-bank/ 
</t>
  </si>
  <si>
    <t>UK Social Value Bank
AURIN</t>
  </si>
  <si>
    <t>AIHW NSHS (2019) – Proximity to services</t>
  </si>
  <si>
    <t>AIHW NSHS (2019) Section 3, p.28</t>
  </si>
  <si>
    <t>Links to tenancy sustainment – Queensland Treasury (2021) Invitation for expressions of interest – Housing Investment Fund: Accelerating innovative housing partnerships. Brisbane, Australia</t>
  </si>
  <si>
    <t xml:space="preserve">Walkability Reports (e.g. Gunn, L., et al. (2020 a and b)) Measuring liveability for the 21 largest cities in Australia: Liveability Reports for Brisbane and Perth. Melbourne, Centre for Urban Research
Qld Globe – https://qldglobe.information.qld.gov.au/
</t>
  </si>
  <si>
    <t>AIHW NSHS (2019)
AIHW Aboriginal and Torres Strait Islander Health Performance Framework – https://www.indigenoushpf.gov.au/</t>
  </si>
  <si>
    <r>
      <rPr>
        <sz val="10"/>
        <rFont val="Calibri"/>
        <family val="2"/>
        <scheme val="minor"/>
      </rPr>
      <t>Case studies (e.g</t>
    </r>
    <r>
      <rPr>
        <u/>
        <sz val="10"/>
        <color theme="10"/>
        <rFont val="Calibri"/>
        <family val="2"/>
        <scheme val="minor"/>
      </rPr>
      <t xml:space="preserve"> universal design New York (universaldesignaustralia.net.au))</t>
    </r>
  </si>
  <si>
    <t>Post-regulatory and policy impact assessment of policy changes linked to project outcomes</t>
  </si>
  <si>
    <t xml:space="preserve">Interviews, surveys and case studies
CHP annual reports
AIHW NSHS (2019)
Video links of individuals' stories
</t>
  </si>
  <si>
    <t xml:space="preserve">AIHW NSHS (2019) – Proximity to services </t>
  </si>
  <si>
    <t>Parsell, C., et al. (2015). Brisbane Common Ground Evaluation findings pp. 89-91 – self-reported improvement in health</t>
  </si>
  <si>
    <t>(Common Ground Queensland 2016) – Lisa’s story: 'Lisa heard about Common Ground from another client in rehab and with the help of a nurse who advocated on her behalf she was able to secure accommodation in the newly built South Brisbane apartment complex. This was a major turning point in Lisa’s recovery, as was gaining some employment at the rehab centre as a cook. Lisa feels that Common Ground has given her a strong foundation, independence, safety, comfort and a private place to retreat to when she needs her own space.'</t>
  </si>
  <si>
    <t>(National Affordable Housing Consortium 2015) p.17 Tenant Profile: NRAS helped Stephen move himself and his daughter from a caravan to an apartment. Stephen says the reduced rent made it very affordable for them. 
(Common Ground Queensland 2016) – Nina’s story: ‘Last year Nina’s hours of work were reduced and she was concerned about being able to afford her rent. Common Ground Queensland were able to reduce Nina’s rent in line with her reduced income. This saved her from becoming homeless again.’</t>
  </si>
  <si>
    <t>Interviews, surveys and case studies
CHP annual reports, interviews, surveys and case studies
CHP annual reports
AIHW NSHS (2019)
Video links of individuals' stories</t>
  </si>
  <si>
    <t>$4,846 per person, per year direct calculable government healthcare cost savings associated with reduced health service use following public housing entry (Wood, Flatau et al., 2016) p.6 
CBA (See New Economy 2015) for service costs (fiscal values) associated with medical care 
$640 per person, per year financial proxy: reduced spend on health services for ‘heavy users’ after moving into public housing (Ravi and Reinhardt, 2011) p.3</t>
  </si>
  <si>
    <t>HOUSEHOLD CLUSTER $ Return on Investment</t>
  </si>
  <si>
    <t>Design – appropriateness and quality</t>
  </si>
  <si>
    <t>Opportunities to participate in community activities (e.g. sports and recreation activities)</t>
  </si>
  <si>
    <t>Incentives for local procurement</t>
  </si>
  <si>
    <t xml:space="preserve">Pre-school enrolment / and/or attendance (i.e. accessible) </t>
  </si>
  <si>
    <r>
      <t xml:space="preserve">Kilometres to be travelled and type of transport required
UK Social Value Bank data
£2,300 go to youth clubs (Trotter, Vine et al., 2014) p.14 </t>
    </r>
    <r>
      <rPr>
        <b/>
        <i/>
        <sz val="10"/>
        <color theme="1"/>
        <rFont val="Calibri"/>
        <family val="2"/>
      </rPr>
      <t>*1.7 times conversion applied</t>
    </r>
  </si>
  <si>
    <t>Qld Globe (e.g. transport stops) –  https://qldglobe.information.qld.gov.au/
Wellbeing valuations</t>
  </si>
  <si>
    <t>Longitudinal linked datasets (e.g. Telethon Kids Institute)</t>
  </si>
  <si>
    <t>Case-specific reports
Datasets; survey
AURIN – Public Health Information Development Unit, (2014): SD Learning or Earning (15-19 year olds)
AURIN – Public Health Information Development Unit, (2014): SLA11 Education</t>
  </si>
  <si>
    <t xml:space="preserve">Datasets; surveys; case studies
Hospital and Health Department records (e.g. Emergency Department Information System)
Mental Health Information System
	</t>
  </si>
  <si>
    <t xml:space="preserve">Establish and meet stretch targets </t>
  </si>
  <si>
    <r>
      <t>UK Social Value Bank
£428 Participating in sport at least once per month (Fujiwara, 2013) p. 34 *</t>
    </r>
    <r>
      <rPr>
        <b/>
        <i/>
        <sz val="10"/>
        <color theme="1"/>
        <rFont val="Calibri"/>
        <family val="2"/>
      </rPr>
      <t>1.7 times conversion applied</t>
    </r>
    <r>
      <rPr>
        <sz val="10"/>
        <color theme="1"/>
        <rFont val="Calibri"/>
        <family val="2"/>
      </rPr>
      <t xml:space="preserve">
£3,101 Football; £1,670 Keeping fit; £5,281 Walking; £2,256 Yoga or pilates; £3,052 Dance; £4,179 Frequent moderate exercise; £3,537 Frequent mild exercise; £1,411 Gardening; £1,515 Hobbies (Trotter, Vine et al., 2014) p.15
£428 Participating in sport at least once per month (Fujiwara, 2013) p.34</t>
    </r>
  </si>
  <si>
    <t xml:space="preserve">$102,473 Increase in education / training over 20 years (Increase in stakeholders completed / completing TAFE/ other course) (Kliger, Large et al. 2011) p.5 </t>
  </si>
  <si>
    <t xml:space="preserve">Design and diversity of housing product – Queensland Treasury (2021). Invitation for expressions of interest: Housing Investment Fund: Accelerating innovative housing partnerships. Brisbane, Australia
and
Queensland Department of Communities, H. a. D. E. (2021) Queensland Housing Investment Growth Initiative – QuickStarts Qld. Brisbane, Australia
	</t>
  </si>
  <si>
    <r>
      <t xml:space="preserve">£2,457 Able to obtain advice locally (Trotter, Vine et al., 2014) p.14 </t>
    </r>
    <r>
      <rPr>
        <b/>
        <i/>
        <sz val="10"/>
        <color rgb="FF000000"/>
        <rFont val="Calibri"/>
        <family val="2"/>
      </rPr>
      <t>1.7 times conversion applied</t>
    </r>
  </si>
  <si>
    <t>AIHW – https://indigenoushpf.gov.au/measures/1-18-social-emotional-wellbeing</t>
  </si>
  <si>
    <r>
      <t>£1,747 Good neighbourhood (Trotter, Vine et al., 2014) UK</t>
    </r>
    <r>
      <rPr>
        <b/>
        <i/>
        <sz val="10"/>
        <color theme="1"/>
        <rFont val="Calibri"/>
        <family val="2"/>
      </rPr>
      <t xml:space="preserve"> 1.7 times conversion applied</t>
    </r>
    <r>
      <rPr>
        <sz val="10"/>
        <color theme="1"/>
        <rFont val="Calibri"/>
        <family val="2"/>
      </rPr>
      <t xml:space="preserve">
£6,500 Regeneration of local area (Fujiwara, 2013) UK</t>
    </r>
  </si>
  <si>
    <t>(Common Ground Queensland 2016) Ann’s story: ‘Ann now proudly shares that she has just completed the Ceramics component of the Certificate III in Visual Arts at Queensland TAFE Brisbane Southbank Campus and is one of the key artists and tenant co-facilitators engaged in creating the Cross-link Mosaic Sculpture which will grace Brisbane Common Ground’s public thoroughfare that links Hope Street and Fleet Lane.’</t>
  </si>
  <si>
    <t>AIHW NSHS (2019)</t>
  </si>
  <si>
    <t>Parsell, C., et al. (2015). Brisbane Common Ground Evaluation findings pp.89-91 – self-reported improvement in health</t>
  </si>
  <si>
    <t>Precinct design, audits; rectification – metrics include metres travelled, available modes, access to pools, playing fields</t>
  </si>
  <si>
    <r>
      <t xml:space="preserve">£12,470 Feel in control of life; £13,080 High confidence (Trotter, Vine et al., 2014) p.14 UK </t>
    </r>
    <r>
      <rPr>
        <b/>
        <i/>
        <sz val="10"/>
        <color rgb="FF000000"/>
        <rFont val="Calibri"/>
        <family val="2"/>
      </rPr>
      <t xml:space="preserve">1.7 times conversion applied </t>
    </r>
    <r>
      <rPr>
        <sz val="10"/>
        <color rgb="FF000000"/>
        <rFont val="Calibri"/>
        <family val="2"/>
      </rPr>
      <t xml:space="preserve">
Others:
AURIN – Social economic modelling indicators – National Centre for Social and Economic Modelling (NATSEM)
AURIN – University of Canberra – NATSEM (2011)
(AIHW, 2015) – Measure 1.17: Perceived health status
AIHW NSHS (2019)</t>
    </r>
  </si>
  <si>
    <t>CONNECTIONS CLUSTER $ Return on Investment</t>
  </si>
  <si>
    <t>INTERACTIONS CLUSTER $ Return on Investment</t>
  </si>
  <si>
    <t xml:space="preserve">Increased affordability and availability of housing </t>
  </si>
  <si>
    <t>Nature of economic value / contribution</t>
  </si>
  <si>
    <t>Co-creating for public investment with industy, NfPs  and philanthropists for inclusive, innovation-led growth</t>
  </si>
  <si>
    <t>Adoption of a social enterprise approach through providing quality services, making a profit and re-investing the profit in new projects</t>
  </si>
  <si>
    <t xml:space="preserve">Philanthropic funding </t>
  </si>
  <si>
    <t>Accessible and diverse cultural sites</t>
  </si>
  <si>
    <t xml:space="preserve">Economic impact of broader benefits of access to housing  (See impact domains) </t>
  </si>
  <si>
    <t>Value capture or like-planning mechanism</t>
  </si>
  <si>
    <t xml:space="preserve">Number of homes sold / built per 1,000 low and moderate income households </t>
  </si>
  <si>
    <t xml:space="preserve">Level of appropriate / required dwelling production </t>
  </si>
  <si>
    <t>Project optionality (e.g. job creation)</t>
  </si>
  <si>
    <t>Quality of local services and facilities (e.g. education, health, shopping and social activities / facilities)</t>
  </si>
  <si>
    <t>ABS and other government data regarding
labour availability and materials supply 
Pipeline of construction work</t>
  </si>
  <si>
    <t>Surveys, interviews; case studies</t>
  </si>
  <si>
    <t>Surveys; interviews; case studies
Green Star rating</t>
  </si>
  <si>
    <t>Surveys; interviews; case studies</t>
  </si>
  <si>
    <t xml:space="preserve">State correctional services datasets; ABS; case studies
</t>
  </si>
  <si>
    <t>Datasets; surveys (e.g. Real Estate Institutes in each state, Core Logic)</t>
  </si>
  <si>
    <t>Datasets; case studies</t>
  </si>
  <si>
    <t>AURIN – Torrens University Australia – Public Health Information Development Unit (2014): SSD MBS Services
AIHW – Costs of health services 
AIHW NSHS (2019) self-reported benefits gained by tenants living in social housing (enjoy better health)
Datasets; surveys</t>
  </si>
  <si>
    <t>Design guidelines for new; audits for existing (e.g. address coastal, bushfire  and resource efficiency issues)</t>
  </si>
  <si>
    <t xml:space="preserve">Datasets; surveys 
</t>
  </si>
  <si>
    <t>Datasets; surveys (e.g. State and Territory-based Housing Authority databases)
AIHW Aboriginal and Torres Strait Islander Health Performance Framework –  https://www.indigenoushpf.gov.au/</t>
  </si>
  <si>
    <t>UK Social Value Bank
AIHW NSHS (2019)
Business plan; organisational data</t>
  </si>
  <si>
    <t xml:space="preserve">Unlock under-utilised resources for social and affordable housing outcomes. Careful capitalisation of investment during the planning /design essential. Revenue-generating models of the investment can help with opportunities. Consider planning mechanisms for investors to incorporate social and affordable housing </t>
  </si>
  <si>
    <t>Need for a targeted investment framework enabling NfP, private, government and/or philanthropic investment. Funding mix important to ensure long-term viability. 
Construction techniques, materials and fixture selections important</t>
  </si>
  <si>
    <t xml:space="preserve">Queensland Treasury (2021). Invitation for expressions of interest: Housing Investment Fund: Accelerating innovative housing partnerships. Brisbane, Australia </t>
  </si>
  <si>
    <t>$29,847 Increased taxes due to increased education over 20-year period (Additional salary earned as a result of increased education) (VWHA (Kliger, Large et al., 2011)) p.4
$17,784 per person, per year – SROI as measured by part-time employment rates at minimum wage (Ravi and Reinhardt, 2011)
CA$2,600 Resulting from improved educational performance (Zon, Molson et al., 2014) p.35
CA$4,875.55 Resulting from continued education and training (Zon, Molson et al., 2014)</t>
  </si>
  <si>
    <t>ABS Index of employment and occupation by Post Code –  https://www.abs.gov.au/AUSSTATS/abs@.nsf/DetailsPage/2033.0.55.0012016?OpenDocument 
AURIN – ABS, (2016): SA2 National Regional Profile (NRP) –  Economy 2009–2013; ABS (2016): SA2 National Regional Profile (NRP) – People/Population 2009–2013</t>
  </si>
  <si>
    <t xml:space="preserve">Implement passive design and low emissions technology in line with Australian Government targets (See Department of Industry, Energy and Emissions Reduction (2022)
Australia's long-term emissions reduction plan: A whole-of-economy plan to achieve net zero emissions by 2050. Australia
	</t>
  </si>
  <si>
    <t>$4,846 per person, per year direct calculable government healthcare cost savings associated with reduced health service use following public housing entry (Wood, Flatau et al., 2016) p.6
CBA (See New Economy 2015 for service costs (fiscal values) associated with medical care
$640 per person, per year financial proxy: Reduced spend on health services for ‘heavy users’ after moving into public housing (Ravi and Reinhardt, 2011) p.3</t>
  </si>
  <si>
    <r>
      <t xml:space="preserve">Average homeless adult with severe addictions and/or mental illnesses to cost British Columbia approximately       CA$55,000 per year, a sum reduced to CA$37,000 per year with adequate supportive housing (Buzzelli, 2009) p.36 CAN </t>
    </r>
    <r>
      <rPr>
        <b/>
        <i/>
        <sz val="10"/>
        <color rgb="FF000000"/>
        <rFont val="Calibri"/>
        <family val="2"/>
      </rPr>
      <t>1.11 times conversion applied</t>
    </r>
    <r>
      <rPr>
        <sz val="10"/>
        <color rgb="FF000000"/>
        <rFont val="Calibri"/>
        <family val="2"/>
      </rPr>
      <t xml:space="preserve">
CBA drugs misuse – average annual savings resulting from reductions in drug-related offending and health and social care costs as a result of delivery of a structured, effective treatment program. Fiscal value £3,727; Economic value £9,234; Social value £3,933 (New Economy, 2015)
CA$211 million (cost avoidance) </t>
    </r>
  </si>
  <si>
    <t>$844 Weighted average benefit per household assisted per year – SGS Economics and Planning (2022)</t>
  </si>
  <si>
    <r>
      <t xml:space="preserve">Average costs of anti-social behaviour £4,950 per incident (GVE)
CBA anti-social behaviour further action necessary (cost of dealing with incident) fiscal value £673 (New Economy, 2015) </t>
    </r>
    <r>
      <rPr>
        <b/>
        <i/>
        <sz val="10"/>
        <color rgb="FF000000"/>
        <rFont val="Calibri"/>
        <family val="2"/>
      </rPr>
      <t>1.7 time conversion applied</t>
    </r>
  </si>
  <si>
    <t>Links to partnerships – Queensland Treasury (2021) Invitation for expressions of interest: Housing Investment Fund: Accelerating innovative housing partnerships. Brisbane, Australia</t>
  </si>
  <si>
    <t>AIHW 2019 Section 5, Satisfaction with Location Survey
Surveys, interviews and case studies</t>
  </si>
  <si>
    <t>Provide feedback re findings to high-level decision-makers  for future budgets</t>
  </si>
  <si>
    <t>Self-reported illicit substances 
Surveys, interviews and case studies</t>
  </si>
  <si>
    <t>Assessment of success and feedback of learnings</t>
  </si>
  <si>
    <t>Parsell, C., et al. (2015). Brisbane Common Ground Evaluation findings pp.98-100</t>
  </si>
  <si>
    <t xml:space="preserve">Rent increases are minor, which gives us the financial ability to cover other areas like our health and better nutrition.' (Churches of Christ Housing Services, 2016 p. 50) </t>
  </si>
  <si>
    <t>A$4,846 per person, per year direct calculable government healthcare cost savings associated with reduced health service use following public housing entry (Wood, Flatau et al., 2016) p.6 AUS
A$2,832 Weighted average benefit per household assisted, per year – SGS Economics and Planning (2022) 
Parsell, C., et al. (2015). Brisbane Common Ground Evaluation findings – Health systems savings $832,335
A$1,872 per year, per household financial proxy: Average annual spend on health services (Ravi and Reinhardt 2011) p.56 AUS
Parsell, C., et al. (2015). Brisbane Common Ground Evaluation findings
A$429,975 Improved physical and mental health of women and their children over 0 years (Reduced reliance on social workers through time) (Kliger, Large et al., 2011) p.5. AUS</t>
  </si>
  <si>
    <t>Survey and interviews (e.g. Parsell, C., et al. (2015)). Brisbane Common Ground Evaluation findings</t>
  </si>
  <si>
    <t>Surveys, interviews and case studies
https://www.dcceew.gov.au/about/news/affirming-australias-net-zero-emissions-by-2050-target
Green Star rating – https://new.gbca.org.au/green-star/rating-system/design-and-built/</t>
  </si>
  <si>
    <r>
      <t xml:space="preserve">£3,000 (Fujiwara, 2013) UK </t>
    </r>
    <r>
      <rPr>
        <b/>
        <i/>
        <sz val="10"/>
        <color rgb="FF000000"/>
        <rFont val="Calibri"/>
        <family val="2"/>
      </rPr>
      <t xml:space="preserve">1.7 times conversion applied </t>
    </r>
  </si>
  <si>
    <t>Green Star rating –  https://new.gbca.org.au/green-star/rating-system/design-and-built/</t>
  </si>
  <si>
    <t>Surveys, interviews and case studies
https://www.dcceew.gov.au/about/news/affirming-australias-net-zero-emissions-by-2050-target
Green Star rating –  https://new.gbca.org.au/green-star/rating-system/design-and-built/</t>
  </si>
  <si>
    <t>UK Social Value Bank                               £2,300 Go to youth clubs (Trotter, Vine et al., 2014) p.14</t>
  </si>
  <si>
    <t>AIHW National Social Housing Survey (NSHS) (2019) NSHS – Proximity to services</t>
  </si>
  <si>
    <t>AIHW NSHS (2019) NSHS – Proximity to services (AIHW 2019, pp.39, 42)
Interviews</t>
  </si>
  <si>
    <t>AIHW, 2014                                                    AIHW, 2015 
Kearns, Petticrew et al., 2008c         Pawson, Milligan et al., 2015                Bridge, Flatau et al., 2003</t>
  </si>
  <si>
    <t>AIHW, 2015
Kingsley et al., 2013</t>
  </si>
  <si>
    <t>Kearns, Petticrew et al., 2008c                  The Scottish Government, 2011a               Bridge, Flatau et al., 2003</t>
  </si>
  <si>
    <t>AIHW NSHS (2019) NSHS – Proximity to services
AIHW 2019 pp.39, 42: 'Emergency services, medical services, hospitals, shops and banking, parks and recreation facilities, public transport, education/training facilities, community and support services' and 'family and friends, child care facilities,  employment or place of work.'</t>
  </si>
  <si>
    <t xml:space="preserve">(Common Ground Queensland 2016) Rod’s Story: ‘Outside of the building I participate in a weekly meditation group and a community choir, both of which I thoroughly enjoy and contribute to my overall sense of wellbeing.’ 
</t>
  </si>
  <si>
    <r>
      <t xml:space="preserve">UK Social Value Bank                              £3,753 Feeling of belonging to neighbourhood                                        £1,747 Good neighbourhood (Trotter, Vine et al. 2014)                                                </t>
    </r>
    <r>
      <rPr>
        <b/>
        <i/>
        <sz val="10"/>
        <rFont val="Calibri"/>
        <family val="2"/>
      </rPr>
      <t>1.7 times conversion applied</t>
    </r>
  </si>
  <si>
    <t>UK Social Value Bank
£428 Participating in sport at least once per month (Fujiwara, 2013) p.34;
£3,101 Football; £1,670 Keeping fit; £5,281 Walking; £2,256 Yoga or pilates; £3,052 Dance; £4,179 Frequent moderate exercise; £3,537 Frequent mild exercise; £1,411 Gardening; £1,515 Hobbies (Trotter, Vine et al., 2014) p.15;
£428 Participating in sport at least once per month (Fujiwara, 2013) p.34
AURIN</t>
  </si>
  <si>
    <t>Kliger, Large et al., 2011
Victorian Women’s Housing Association, 2010
Zon, Molson et al., 2014
AIHW, 2015
Pomeroy, 2007
Victorian Women’s Housing Association, 2010</t>
  </si>
  <si>
    <t>Carter and Polevychok, 2004
Canada Mortgage and Housing Corporation (CMHC), 2011
AIHW, 2015</t>
  </si>
  <si>
    <t xml:space="preserve">$3,770 Weighted average benefit per household                                                    Assisted per year – SGS Economics and Planning (2022) </t>
  </si>
  <si>
    <t>$1,838 Weighted average benefit per household
Assisted per year – SGS Economics and Planning (2022)</t>
  </si>
  <si>
    <r>
      <t xml:space="preserve">$1,398,267 Savings on future welfare expenses for children (i.e. secure, safe housing, over 20 years (Kliger, Large et al., 2011) p.4 
CA$6,576 Cost of one year’s worth of social assistance benefits in Ontario, Canada, in 2006 for a single individual with no dependents (Zon, Molson et al., 2014) p.34                                                                      </t>
    </r>
    <r>
      <rPr>
        <b/>
        <i/>
        <sz val="10"/>
        <color rgb="FF000000"/>
        <rFont val="Calibri"/>
        <family val="2"/>
      </rPr>
      <t>1.11 times conversion applied</t>
    </r>
  </si>
  <si>
    <r>
      <t xml:space="preserve">$2,548 per person, per year (Ravi and Reinhardt, 2011) pp.3, 53
$2,318,763 over 20 years (Kliger, Large et al., 2011) 
CA$5,169.63 Average subsidy per assisted household used as a proxy for the additional disposable income households will have after moving into social housing  (Zon, Molson et al., 2014) p.33
£7,347 Able to pay for housing (Trotter, Vine et al., 2014) p.15 
</t>
    </r>
    <r>
      <rPr>
        <b/>
        <i/>
        <sz val="10"/>
        <color rgb="FF000000"/>
        <rFont val="Calibri"/>
        <family val="2"/>
      </rPr>
      <t>1.7 times conversion applied</t>
    </r>
  </si>
  <si>
    <t>$2,318,763 Increased ability to purchase more food, clothes, entertainment, education, health services, etc. (increased disposable income) (Kliger, Large et al., 2011) p.5</t>
  </si>
  <si>
    <t>£2,300 Services that help people to lift themselves out of heavy debt (Fujiwara, 2013) p.34
£1,593 Debt-fee; £9,428 Relief from being heavily burdened with debt; £7,347 Able to pay for housing; £8,917 Financial comfort; £3,652 Able to insure home contents (Trotter, Vine et al., 2014) p.15</t>
  </si>
  <si>
    <t>AIHW National Social Housing Survey (NSHS) (2019) Section 3, p.28</t>
  </si>
  <si>
    <t>(i) past narratives to highlight and inform impact
(ii) % of income contributed to achieve domain outcomes
(iii) evidence of consideration / thinking</t>
  </si>
  <si>
    <t>AIHW NSHS (2019) – self-reported benefits gained by tenants living in social housing (more able to start or continue education/training)</t>
  </si>
  <si>
    <t>AURIN, Public Health Information Development Unit, (2014): SD Learning or Earning (15-19 years old)
AURIN – Public Health Information Development Unit, (2014): SLA11 Education</t>
  </si>
  <si>
    <t>CA$4,874.55 affecting 188,676 (2006) (Zon, Molson et al. 2014) p.35</t>
  </si>
  <si>
    <t>Additional earning capacity from continuing education and re-training
CA$4,874.55 (Zon, Molson et al., 2014) p. 35; £1,773 General training for job;  £1,124 Vocational training; £9,447 Government training scheme; £1,747 Apprenticeships; £807 Employment training (Trotter, Vine et al., 2014) p.14, UK</t>
  </si>
  <si>
    <r>
      <t xml:space="preserve">£1,875 Access to internet (Trotter, Vine    et al., 2014) p.15
</t>
    </r>
    <r>
      <rPr>
        <b/>
        <i/>
        <sz val="10"/>
        <color rgb="FF000000"/>
        <rFont val="Calibri"/>
        <family val="2"/>
      </rPr>
      <t>1.7 times conversion applied</t>
    </r>
  </si>
  <si>
    <t xml:space="preserve">$168 Weighted average benefit per household assisted per year – SGS Economics and Planning (2022) </t>
  </si>
  <si>
    <t>Case-specific reports
Datasets; survey
AURIN, Public Health Information Development Unit, (2014): SD Learning or Earning (15-19 years old)
AURIN – Public Health Information Development Unit, (2014): SLA11 Education</t>
  </si>
  <si>
    <t>£754 Value of undertaking one part-time course to the individual (Fujiwara, 2013) p.32, UK</t>
  </si>
  <si>
    <t>CBA persistent truancy – total fiscal cost of persistent truancy (missing at least five weeks of school per year), per individual, per effective year – Fiscal value  £1,878; Economic value  £1,048 (New Economy, 2015)</t>
  </si>
  <si>
    <t>AIHW, 2014 &amp; 2105
Maclennan, 2008
Bridge, Flatau et al., 2003
Phibbs and Young, 2005
Orr, Feins et al., 2003
Carter and Polevychok, 2004
Kliger, Large et al., 2011
Parsell, Petersen et al., 2015
Fauth, Leventhal et al., 2004                  Olsen, Tyler et al., 2005
Susin, 2005
Wasserman, 2001
Oreopoulos, 2003
Hay, 2005
Maclennan, 2008
Phibbs and Young, 2005 
Carter and Polevychok, 2004      Oreopoulos, 2003
Orr, Feins et al., 2003
Parsell, Petersen et al., 2015</t>
  </si>
  <si>
    <r>
      <t xml:space="preserve">CA$9,532.50 Part-time employment at Ontario’s minimum wage is used for the financial proxy. 34,519 people affected (Zon, Molson et al., 2014) p.33
Part-time employment £1,229 (Trotter, Vine et al., 2014) p.14, UK </t>
    </r>
    <r>
      <rPr>
        <b/>
        <sz val="10"/>
        <color rgb="FF000000"/>
        <rFont val="Calibri"/>
        <family val="2"/>
      </rPr>
      <t>1.7 time multiplier applied</t>
    </r>
    <r>
      <rPr>
        <sz val="10"/>
        <color rgb="FF000000"/>
        <rFont val="Calibri"/>
        <family val="2"/>
      </rPr>
      <t xml:space="preserve"> 
AURIN Regional Australia Institute (2011): LGA Human Capital Indicators 2011 –  adaption, innovation and resilience in workforce</t>
    </r>
  </si>
  <si>
    <t xml:space="preserve">A$543,894 Increase in employment (Kliger, Large et al., 2011) p.6  
A$17,784 per year, per worker Financial Proxy: improved earning potential as measured by part-time employment rates at minimum wage (Ravi and Reinhardt, 2011) p. 55. Australia
‘Income Support Fiscal and economic benefit from a workless claimant entering work.’ Fiscal value  £7,972; Economic value  £9,163. UK
Unemployment – £8,700 per year in addition to loss of income (Fujiwara, 2013) p.31. UK full-time employment £10,767; Secure job £12,034 (Trotter, Vine et al., 2014) p.14 UK
Employment figures from states and Centerlink
</t>
  </si>
  <si>
    <t>New design and audits / retrofit of existing. Economic return/benefit to be calculated on a case-by-case basis from (e.g.) water-efficient features, water-sensitive design, grey-water re-use, water capture</t>
  </si>
  <si>
    <t>Kearns, Petticrew et al., 2008a
AIHW, 2015
Phibbs and Young, 2005
Moloughney, 2004
The Scottish Government, 2011a</t>
  </si>
  <si>
    <t>Kearns, Petticrew et al., 2008b
Pawson, Milligan et al., 2015
Phibbs and Young, 2005
AIHW, 2014</t>
  </si>
  <si>
    <t>Kearns, Petticrew et al., 2008a
Maclennan, 2008
Carter and Polevychok, 2004
The Scottish Government, 2008
Wood, Flatau et al., 2016
AIHW, 2015</t>
  </si>
  <si>
    <t>Kearns, Petticrew et al., 2008b
Bridge, Flatau et al., 2003
CMHC, 2011; plus many more – see full report of Valuing Social Housing Final Research Report Appendix A for full listing</t>
  </si>
  <si>
    <t xml:space="preserve">Parsell, C., et al. (2015). Brisbane Common Ground Evaluation findings, pp.89-91 – self-reported improvement in health
Self-reported prevalence data (e.g. State and Territory-based Health Department –  Population annual surveys. Available on internet
</t>
  </si>
  <si>
    <r>
      <t xml:space="preserve">CA$148.00 Average cost of emergency room visit avoided as vulnerably housed move into stable housing. Affected 278,231 people (Zon, Molson et al., 2014) p.34. </t>
    </r>
    <r>
      <rPr>
        <b/>
        <i/>
        <sz val="10"/>
        <color rgb="FF000000"/>
        <rFont val="Calibri"/>
        <family val="2"/>
      </rPr>
      <t>1.11 times conversion applied</t>
    </r>
  </si>
  <si>
    <r>
      <t xml:space="preserve">CBA alcohol misuse – estimated annual cost to the NHS of alcohol dependency, per year, per dependent drinker fiscal value – £2,015 Social value – £1,565 (New Economy, 2015)
</t>
    </r>
    <r>
      <rPr>
        <b/>
        <i/>
        <sz val="10"/>
        <color rgb="FF000000"/>
        <rFont val="Calibri"/>
        <family val="2"/>
      </rPr>
      <t xml:space="preserve">1.7 times conversion applied
</t>
    </r>
    <r>
      <rPr>
        <sz val="10"/>
        <color rgb="FF000000"/>
        <rFont val="Calibri"/>
        <family val="2"/>
      </rPr>
      <t xml:space="preserve">
CA$211 million (cost avoidance) Average homeless adult with severe addictions and/or mental illnesses to cost British Columbia approximately CA$55,000 per year, a sum reduced to CA$37,000 per year with adequate supportive housing (Buzzelli, 2009), p.36 CAN</t>
    </r>
  </si>
  <si>
    <r>
      <t xml:space="preserve">Average homeless adult with severe addictions and/or mental illnesses to cost British Columbia approximately                  CA$55,000 per year, a sum reduced to   CA$37,000 per year with adequate supportive housing (Buzzelli, 2009), p.36 CAN </t>
    </r>
    <r>
      <rPr>
        <b/>
        <i/>
        <sz val="10"/>
        <color rgb="FF000000"/>
        <rFont val="Calibri"/>
        <family val="2"/>
      </rPr>
      <t>1.11 times conversion applied</t>
    </r>
    <r>
      <rPr>
        <sz val="10"/>
        <color rgb="FF000000"/>
        <rFont val="Calibri"/>
        <family val="2"/>
      </rPr>
      <t xml:space="preserve">
CBA drugs misuse – average annual savings resulting from reductions in drug-related offending and health and social care costs as a result of delivery of a structured, effective treatment program. Fiscal value – £3,727; Economic value –   £9,234; Social value –  £3,933 (New Economy, 2015)
CA$211 million (cost avoidance) </t>
    </r>
  </si>
  <si>
    <t>AIHW NSHS (2019) – self-reported benefits gained by tenants living in social housing</t>
  </si>
  <si>
    <r>
      <t>£12,470 Feel in control of life; £13,080 High confidence (Trotter, Vine et al., 2014) p.14, UK</t>
    </r>
    <r>
      <rPr>
        <sz val="10"/>
        <color rgb="FFFF0000"/>
        <rFont val="Calibri"/>
        <family val="2"/>
      </rPr>
      <t xml:space="preserve"> </t>
    </r>
    <r>
      <rPr>
        <sz val="10"/>
        <color rgb="FF000000"/>
        <rFont val="Calibri"/>
        <family val="2"/>
      </rPr>
      <t xml:space="preserve">
Others:
AURIN – Social economic modelling indicators (National Centre for Social and Economic Modelling) (NATSEM)
AURIN, University of Canberra – NATSEM, (2011)
AIHW (2015) – Measure 1.17: Perceived health status
AIHW National Social Housing Survey (NSHS) (2019)</t>
    </r>
  </si>
  <si>
    <r>
      <t xml:space="preserve">CA$3,570 Increased ability to pay for health and medical-related expenses per assisted household in 2006. Affected 308,267 people. (Zon, Molson et al., 2014), p.36                                                       </t>
    </r>
    <r>
      <rPr>
        <b/>
        <i/>
        <sz val="10"/>
        <color rgb="FF000000"/>
        <rFont val="Calibri"/>
        <family val="2"/>
      </rPr>
      <t>1.11 times conversions applied</t>
    </r>
  </si>
  <si>
    <t xml:space="preserve">AIHW NSHS (2019) Section 4, Satisfaction with Amenities
Queensland Department of Communities, H. a. D. E. (2021). Queensland Housing Investment Growth Initiative – QuickStarts Qld. Brisbane, Australia
	</t>
  </si>
  <si>
    <t>AIHW NSHS (2019) Section 4, Satisfaction with Amenities</t>
  </si>
  <si>
    <r>
      <t xml:space="preserve">CBA – Homelessness application – average one-off and ongoing costs associated with statutory homelessness – Fiscal value  £2,724 per incident (New Economy, 2015) </t>
    </r>
    <r>
      <rPr>
        <b/>
        <i/>
        <sz val="10"/>
        <color rgb="FF000000"/>
        <rFont val="Calibri"/>
        <family val="2"/>
      </rPr>
      <t>1.7 times conversion applied</t>
    </r>
    <r>
      <rPr>
        <sz val="10"/>
        <color rgb="FF000000"/>
        <rFont val="Calibri"/>
        <family val="2"/>
      </rPr>
      <t xml:space="preserve">
CBA – Homelessness advice and support – cost of a homelessness prevention or housing options scheme that leads to successful prevention of homelessness – Fiscal value £699 per incident (New Economy, 2015)
12 months or more – CBA – Rough sleepers – average annual local authority expenditure per individual – Fiscal value £8,605 per year
CBA temporary accommodation – average weekly cost of housing a homeless household in hostel accommodation – Fiscal value  £117 (New Economy, 2015)</t>
    </r>
  </si>
  <si>
    <r>
      <t xml:space="preserve">CBA – Average fiscal cost of a complex eviction – Fiscal value  £7,276 (New Economy, 2015) </t>
    </r>
    <r>
      <rPr>
        <b/>
        <i/>
        <sz val="10"/>
        <color rgb="FF000000"/>
        <rFont val="Calibri"/>
        <family val="2"/>
      </rPr>
      <t>1.7 times conversion applied</t>
    </r>
  </si>
  <si>
    <t>CBA ‘domestic violence – average cost per incident (fiscal, economic and social values)'
Fiscal value – £2,836; economic value – £1,692; Social value – £7,803 (New Economy, 2015)</t>
  </si>
  <si>
    <r>
      <t xml:space="preserve">Average costs of anti-social behaviour £4,950 per incident (GVE)
CBA anti-social behaviour further action necessary (cost of dealing with incident) –  Fiscal value £673 (New Economy, 2015) </t>
    </r>
    <r>
      <rPr>
        <b/>
        <i/>
        <sz val="10"/>
        <color rgb="FF000000"/>
        <rFont val="Calibri"/>
        <family val="2"/>
      </rPr>
      <t>1.7 times conversion applied</t>
    </r>
  </si>
  <si>
    <r>
      <t xml:space="preserve">£1,850 Member of social group; £ 1,773 Regular attendance at voluntary or local organisation (Trotter, Vine et al., 2014) p.15 </t>
    </r>
    <r>
      <rPr>
        <b/>
        <i/>
        <sz val="10"/>
        <color rgb="FF000000"/>
        <rFont val="Calibri"/>
        <family val="2"/>
      </rPr>
      <t>1.7 times conversion applied</t>
    </r>
    <r>
      <rPr>
        <sz val="10"/>
        <color rgb="FF000000"/>
        <rFont val="Calibri"/>
        <family val="2"/>
      </rPr>
      <t xml:space="preserve">
ABS – 4159.0 – General Social Survey: Summary Results, Australia, (2010) (community participation)</t>
    </r>
  </si>
  <si>
    <r>
      <t xml:space="preserve">£8,116 Active in tenants group (Trotter, Vine et al., 2014) p.15. UK </t>
    </r>
    <r>
      <rPr>
        <b/>
        <i/>
        <sz val="10"/>
        <color rgb="FF000000"/>
        <rFont val="Calibri"/>
        <family val="2"/>
      </rPr>
      <t>1.7 times conversion applied</t>
    </r>
  </si>
  <si>
    <t>AIHW –  https://indigenoushpf.gov.au/measures/1-18-social-emotional-wellbeing</t>
  </si>
  <si>
    <r>
      <t xml:space="preserve">£3,000 Value associated with being able to socialise and meet on most days (Fujiwara, 2013) p.35. </t>
    </r>
    <r>
      <rPr>
        <b/>
        <i/>
        <sz val="10"/>
        <color theme="1"/>
        <rFont val="Calibri"/>
        <family val="2"/>
      </rPr>
      <t>1.7 times conversion applied</t>
    </r>
    <r>
      <rPr>
        <b/>
        <sz val="10"/>
        <color theme="1"/>
        <rFont val="Calibri"/>
        <family val="2"/>
      </rPr>
      <t xml:space="preserve">
</t>
    </r>
    <r>
      <rPr>
        <sz val="10"/>
        <color theme="1"/>
        <rFont val="Calibri"/>
        <family val="2"/>
      </rPr>
      <t xml:space="preserve">ABS National Aboriginal and Torres Strait Islander Social Survey
AIHW NSHS (2019)   </t>
    </r>
  </si>
  <si>
    <t>Housing provider records
Local authority sources
CHP records
Local authority sources
AIHW NSHS (2019)</t>
  </si>
  <si>
    <t>AIHW NSHS (2019) – Satisfaction with day-to-day and emergency maintenance services</t>
  </si>
  <si>
    <t>AURIN
State and local government planning authorities
AIHW NSHS (2019)</t>
  </si>
  <si>
    <t>AURIN walkability index –  https://aurin.org.au/</t>
  </si>
  <si>
    <t>Design guidelines for new; audits for existing 
Green Star rating</t>
  </si>
  <si>
    <t>Green Star rating –  https://new.gbca.org.au/green-star/rating-system/communities/</t>
  </si>
  <si>
    <t>State government maps (e.g. Qld Globe) –  https://qldglobe.information.qld.gov.au/
Local Authority maps (e.g. Brisbane City Council City Plan) –  https://cityplan.brisbane.qld.gov.au/eplan/#/Property/0
AURIN – https://aurin.org.au/
.id community –  https://home.id.com.au/demographic-resources/
AIHW Aboriginal and Torres Strait Islander Health Performance Framework –  https://www.indigenoushpf.gov.au/</t>
  </si>
  <si>
    <t>State government maps (e.g. Qld Globe) https://qldglobe.information.qld.gov.au/
Local Authority maps (e.g. Brisbane City Council City Plan) https://cityplan.brisbane.qld.gov.au/eplan/#/Property/0
AURIN –  https://aurin.org.au/
.id community –  https://home.id.com.au/demographic-resources/
AIHW National Social Housing Survey (NSHS) (2019)
AIHW Aboriginal and Torres Strait Islander Health Performance Framework –  https://www.indigenoushpf.gov.au/
Green Star rating –  https://new.gbca.org.au/green-star/rating-system/communities/</t>
  </si>
  <si>
    <t>State government maps (e.g. Qld Globe) –  https://qldglobe.information.qld.gov.au/
Local Authority maps (e.g. Brisbane City Council City Plan) –  https://cityplan.brisbane.qld.gov.au/eplan/#/Property/0
AURIN – https://aurin.org.au/
.id community –  https://home.id.com.au/demographic-resources/
AIHW Aboriginal and Torres Strait Islander Health Performance Framework –  https://www.indigenoushpf.gov.au/
Green Star rating –  https://new.gbca.org.au/green-star/rating-system/communities/</t>
  </si>
  <si>
    <r>
      <rPr>
        <sz val="10"/>
        <rFont val="Calibri (Body)"/>
      </rPr>
      <t>For example:</t>
    </r>
    <r>
      <rPr>
        <u/>
        <sz val="10"/>
        <color theme="10"/>
        <rFont val="Calibri"/>
        <family val="2"/>
        <scheme val="minor"/>
      </rPr>
      <t xml:space="preserve">
https://www.wa.gov.au/organisation/department-of-communities/social-housing-economic-recovery-package 
https://www.treasury.qld.gov.au/programs-and-policies/housing-investment-fund/
</t>
    </r>
  </si>
  <si>
    <t>Feedback from collaborators as part of business / strategy planning</t>
  </si>
  <si>
    <r>
      <t xml:space="preserve">$1,398,267 Savings on future welfare expense for children (i.e. secure safe housing, over 20 years) (Kliger, Large et al., 2011), p.4 
CA$6,576 The cost of one year’s worth of social assistance benefits in Ontario in 2006 for a single individual with no dependents. (Zon, Molson et al., 2014) p.34 </t>
    </r>
    <r>
      <rPr>
        <b/>
        <i/>
        <sz val="10"/>
        <color rgb="FF000000"/>
        <rFont val="Calibri"/>
        <family val="2"/>
      </rPr>
      <t>1.11 times conversion applied</t>
    </r>
  </si>
  <si>
    <t>For example: CHP annual reports</t>
  </si>
  <si>
    <t>State Government maps (e.g. Qld Globe) –  https://qldglobe.information.qld.gov.au/
Local Authority maps( e.g. Brisbane City Council City Plan) –  https://cityplan.brisbane.qld.gov.au/eplan/#/Property/0
AURIN – https://aurin.org.au/
.id community – https://home.id.com.au/demographic-resources/
AIHW NSHS (2019)
AIHW Aboriginal and Torres Strait Islander Health Performance Framework –  https://www.indigenoushpf.gov.au/
Green Star rating – https://new.gbca.org.au/green-star/rating-system/communities/</t>
  </si>
  <si>
    <t>State Government maps (e.g. Qld Globe) –  https://qldglobe.information.qld.gov.au/
Local Authority maps (e.g. Brisbane City Council City Plan) –  https://cityplan.brisbane.qld.gov.au/eplan/#/Property/0
AURIN – https://aurin.org.au/
.id community – https://home.id.com.au/demographic-resources/
AIHW Aboriginal and Torres Strait Islander Health Performance Framework –  https://www.indigenoushpf.gov.au/</t>
  </si>
  <si>
    <t>For example: from state government providers; AIHW</t>
  </si>
  <si>
    <r>
      <t xml:space="preserve">CBA – Homelessness application – average one-off and ongoing costs associated with statutory homelessness –  Fiscal value £2,724 per incident (New Economy, 2015)       </t>
    </r>
    <r>
      <rPr>
        <b/>
        <i/>
        <sz val="10"/>
        <color rgb="FF000000"/>
        <rFont val="Calibri"/>
        <family val="2"/>
      </rPr>
      <t>1.7 times conversion applied</t>
    </r>
    <r>
      <rPr>
        <sz val="10"/>
        <color rgb="FF000000"/>
        <rFont val="Calibri"/>
        <family val="2"/>
      </rPr>
      <t xml:space="preserve">
CBA – Homelessness advice and support – cost of a homelessness prevention or housing options scheme that leads to successful prevention of homelessness – Fiscal value £699 per incident (New Economy, 2015)
12 months or more – CBA – Rough sleepers – average annual local authority expenditure per individual – Fiscal value £8,605 per year
CBA temporary accommodation – average weekly cost of housing a homeless household in hostel accommodation –  fiscal value £117 (New Economy, 2015)</t>
    </r>
  </si>
  <si>
    <t>Core Logic Housing Affordability Report 2021 –  https://news.anz.com/content/dam/news/articles/2021/November/ANZ_CoreLogic_Housing_Affordability_Report_2021_Final_lr.pdf
Core Logic suburban profiles by subscription including sales, demographic profiles and property trends
State and Territory databases</t>
  </si>
  <si>
    <t>Strategic, policy and portfolio management engagement required
Core Logic Housing Affordability Report 2021 –  https://news.anz.com/content/dam/news/articles/2021/November/ANZ_CoreLogic_Housing_Affordability_Report_2021_Final_lr.pdf
Anglicare Australia (2022b). Housing affordability snapshot: Regional reports April 2022. Australia</t>
  </si>
  <si>
    <t>LIVEABILITY</t>
  </si>
  <si>
    <r>
      <t xml:space="preserve">e.g. </t>
    </r>
    <r>
      <rPr>
        <i/>
        <sz val="10"/>
        <color rgb="FF000000"/>
        <rFont val="Calibri"/>
        <family val="2"/>
      </rPr>
      <t>My School</t>
    </r>
    <r>
      <rPr>
        <sz val="10"/>
        <color rgb="FF000000"/>
        <rFont val="Calibri"/>
        <family val="2"/>
      </rPr>
      <t xml:space="preserve">, RoGS, Department of Education WA
National standards fot student attendence reporting data </t>
    </r>
  </si>
  <si>
    <t xml:space="preserve">Datasets; surveys (e.g.)
</t>
  </si>
  <si>
    <t>Datasets; surveys (e.g. AIHW)</t>
  </si>
  <si>
    <t>$1,872 per person, per year (Ravi and Reinhardt 2011)
Datasets; surveys</t>
  </si>
  <si>
    <t xml:space="preserve">Datasets; surveys; case studies
Hospital and Health Department records (e.g. Emergency Department Information System, Mental Health Information System)
	</t>
  </si>
  <si>
    <t>UK Social Value Bank for variety of conditions
Datasets; surveys; case studies</t>
  </si>
  <si>
    <t>Health Department Datasets; surveys</t>
  </si>
  <si>
    <t>Datasets; surveys –  (e.g. AIHW) https://indigenoushpf.gov.au/measures/1-24-avoidable-preventable-deaths
WA Hospital Morbidity Data System; AIHW; AURIN – Torrens University. Australia – Public Health Information Development Unit (2014): SA2 Chronic Disease – Modelled Estimate</t>
  </si>
  <si>
    <t>AURIN – Torrens University Australia –  Public Health Information Development Unit (2014): SSD MBS Services.
AIHW: Costs of health services 
AIHW National Social Housing Survey (NSHS) (2019) NSHS self-reported benefits gained by tenants living in social housing (enjoy better health) 
Datasets; surveys</t>
  </si>
  <si>
    <t>Zon, N., et al. (2014). Building Blocks: The case for federal investment in social and affordable housing in Ontario. Canada
AURIN: Public Health Information Development Unit, (2014): SD Access to Services, Financial and Transport Barriers. 
Parsell, C., et al. (2015). Brisbane Common Ground Evaluation findings
Datasets; surveys</t>
  </si>
  <si>
    <t>UK Social Value Bank –  https://stage.hact.org.uk/tools-and-services/uk-social-value-bank/
Surveys; interviews</t>
  </si>
  <si>
    <t>e.g. by CHPs, Real Estate Institute, Core Logic</t>
  </si>
  <si>
    <t>e.g. from state government providers; AIHW</t>
  </si>
  <si>
    <t>Datasets; surveys (e.g. AIHW National Social Housing Survey (NSHS), CHPs)</t>
  </si>
  <si>
    <t>Audits; surveys (e.g. State and Territory-based Housing Authorities;  AIHW NSHS (2019))</t>
  </si>
  <si>
    <t>Audits; surveys (e.g. AURIN, AIHW NSHS (2019) and AIHW Aboriginal and Torres Strait Islander Health Performance Framework –  https://www.indigenoushpf.gov.au/</t>
  </si>
  <si>
    <t>Datasets; surveys (e.g. Real Estate Institutes in each state; Core Logic)</t>
  </si>
  <si>
    <t>Audits; surveys (e.g. AURIN
State and Territory-based Housing Authority Databases; 
AIHW  housing measures)</t>
  </si>
  <si>
    <t>Government; CHP databases</t>
  </si>
  <si>
    <t xml:space="preserve">Datasets; case studies (e.g. AIHW Aboriginal and Torres Strait Islander Health Performance Framework) – https://www.indigenoushpf.gov.au/
</t>
  </si>
  <si>
    <t>Datasets; case studies
AIHW NSHS (2019)</t>
  </si>
  <si>
    <t>UK Social Value Bank
CHP and police records; audits</t>
  </si>
  <si>
    <t>UK Social Value Bank
CHP and police records; audits</t>
  </si>
  <si>
    <t>Datasets; surveys; CHP and police records; audits</t>
  </si>
  <si>
    <t>UK Social Value Bank
Datasets; CHP and police records; audits</t>
  </si>
  <si>
    <t>UK Social Value Bank
Datasets; CHP records; audits</t>
  </si>
  <si>
    <t>e.g. CHP annual reports</t>
  </si>
  <si>
    <t>Google maps
State government maps (e.g. Qld Globe) –  https://qldglobe.information.qld.gov.au/
Local Authority maps (e.g. Brisbane City Council City Plan) –  https://cityplan.brisbane.qld.gov.au/eplan/#/Property/0
Green Star rating –  https://new.gbca.org.au/green-star/rating-system/communities/
AURIN walkability index –  https://aurin.org.au/</t>
  </si>
  <si>
    <t>Design guidelines; surveys; audits
Green Star communities rating</t>
  </si>
  <si>
    <t>£6,500 (Fujiwara, 2013). UK
Surveys; audits</t>
  </si>
  <si>
    <t>Partnerships to deliver housing, e.g.
https://bhcl.com.au/institutional-investor-to-provide-financing-for-up-to-1200-new-social-and-affordable-homes/</t>
  </si>
  <si>
    <t xml:space="preserve">Partnerships to deliver housing, e.g. https://bhcl.com.au/institutional-investor-to-provide-financing-for-up-to-1200-new-social-and-affordable-homes/ </t>
  </si>
  <si>
    <t>e.g. membership figures; focus areas</t>
  </si>
  <si>
    <t>e.g. CHIA NSW data dashboard –  https://communityhousing.org.au/our-impact/data-dashboard/</t>
  </si>
  <si>
    <t xml:space="preserve">e.g. SBEnrc investment –  www.sbenrc.com.au
</t>
  </si>
  <si>
    <t>e.g. SBEnrc Uptake and Impact Reports</t>
  </si>
  <si>
    <r>
      <rPr>
        <sz val="10"/>
        <rFont val="Calibri (Body)"/>
      </rPr>
      <t>e.g.</t>
    </r>
    <r>
      <rPr>
        <u/>
        <sz val="10"/>
        <color theme="10"/>
        <rFont val="Calibri"/>
        <family val="2"/>
        <scheme val="minor"/>
      </rPr>
      <t xml:space="preserve">
https://www.wa.gov.au/organisation/department-of-communities/social-housing-economic-recovery-package 
https://www.treasury.qld.gov.au/programs-and-policies/housing-investment-fund/
</t>
    </r>
  </si>
  <si>
    <t>e.g. CHPs, Real Estate Institutes, Core Logic</t>
  </si>
  <si>
    <t>Audits; surveys (e.g. State and Territory-based Housing Authorities; AIHW National Social Housing Survey (NSHS) (2019))</t>
  </si>
  <si>
    <t>Audits; surveys (e.g. AURIN, AIHW NSHS (2019) and AIHW Aboriginal and Torres Strait Islander Health Performance Framework) – https://www.indigenoushpf.gov.au/</t>
  </si>
  <si>
    <t>Case-specific reports
Data (e.g. AIHW National Social Housing Survey (NSHS) (2019) – Self-reported benefits gained by tenants living in social housing (more able to state or continue education / training)</t>
  </si>
  <si>
    <t xml:space="preserve">Case-specific reports
Data (e.g. AURIN – University of Newcastle – Centre of Full Employment and Equity (2015): Australia By Less Skilled CofFEE Functional Economic Region 2011
AIHW Indigenous data – Aboriginal and Torres Strait Islander Health Performance Framework) –               https://www.indigenoushpf.gov.au/                                             </t>
  </si>
  <si>
    <t xml:space="preserve">Organisational data (e.g. WA Department of Lands Planning and Heritage and WA Planning Commission (2021); Urban Growth Monitor – Perth Metropolitan, Peel and Greater Bunbury Regions. Perth, Australia)
Anglicare Australia (2022b). Housing affordability snapshot: Regional  reports April 2022. Australia
	</t>
  </si>
  <si>
    <t>Case-specific reports
Data (e.g. AURIN – University of Newcastle – Centre of Full Employment and Equity (2015): Australia By Less Skilled CofFEE Functional Economic Region 2011
AIHW Aboriginal and Torres Strait Islander Health Performance Framework)</t>
  </si>
  <si>
    <t xml:space="preserve">Datasets; case studies (e.g. AIHW Aboriginal and Torres Strait Islander Health Performance Framework) –  https://www.indigenoushpf.gov.au/
</t>
  </si>
  <si>
    <t>State Government maps (e.g. Qld Globe) https://qldglobe.information.qld.gov.au/
Local Authority maps (e.g. Brisbane City Council City Plan) – https://cityplan.brisbane.qld.gov.au/eplan/#/Property/0
AURIN – https://aurin.org.au/
.id community – https://home.id.com.au/demographic-resources/
AIHW Aboriginal and Torres Strait Islander Health Performance Framework –  https://www.indigenoushpf.gov.au/
Green Star rating – https://new.gbca.org.au/green-star/rating-system/communities/</t>
  </si>
  <si>
    <t>Design guidelines for new; audits for existing 
Qld Globe - Heritage Register and Native Title Determinations –  https://qldglobe.information.qld.gov.au/</t>
  </si>
  <si>
    <r>
      <t xml:space="preserve">Core Logic </t>
    </r>
    <r>
      <rPr>
        <i/>
        <sz val="10"/>
        <color theme="1"/>
        <rFont val="Calibri"/>
        <family val="2"/>
      </rPr>
      <t>Housing Affordability Report</t>
    </r>
    <r>
      <rPr>
        <sz val="10"/>
        <color theme="1"/>
        <rFont val="Calibri"/>
        <family val="2"/>
      </rPr>
      <t xml:space="preserve"> 2021 –  https://news.anz.com/content/dam/news/articles/2021/November/ANZ_CoreLogic_Housing_Affordability_Report_2021_Final_lr.pdf
Core Logic suburban profiles by subscription including sales, demographic profiles and property trends
</t>
    </r>
    <r>
      <rPr>
        <sz val="10"/>
        <rFont val="Calibri"/>
        <family val="2"/>
      </rPr>
      <t>State and territory government databases - housing, treasury and planning</t>
    </r>
  </si>
  <si>
    <r>
      <t xml:space="preserve">Anglicare </t>
    </r>
    <r>
      <rPr>
        <sz val="10"/>
        <rFont val="Calibri"/>
        <family val="2"/>
      </rPr>
      <t xml:space="preserve">Rental affordability snapshot: Regional reports – </t>
    </r>
    <r>
      <rPr>
        <sz val="10"/>
        <color rgb="FF000000"/>
        <rFont val="Calibri"/>
        <family val="2"/>
      </rPr>
      <t xml:space="preserve"> https://www.anglicare.asn.au/publications/rental-affordability-snapshot-2022/</t>
    </r>
  </si>
  <si>
    <r>
      <t xml:space="preserve">Organisational data (e.g. WA Dept of Lands Planning and Heritage and WA Planning Commission (2021); Urban Gro+C28wth Monitor – Perth Metropolitan, Peel and Greater Bunbury Regions. Perth, Australia)
Anglicare Australia (2022b). </t>
    </r>
    <r>
      <rPr>
        <sz val="10"/>
        <rFont val="Calibri"/>
        <family val="2"/>
      </rPr>
      <t>Rental</t>
    </r>
    <r>
      <rPr>
        <sz val="10"/>
        <color rgb="FF000000"/>
        <rFont val="Calibri"/>
        <family val="2"/>
      </rPr>
      <t xml:space="preserve"> affordability snapshot: Regional reports (April 2022). Australia
	</t>
    </r>
  </si>
  <si>
    <t xml:space="preserve">Details (examples) 
</t>
  </si>
  <si>
    <r>
      <t xml:space="preserve">ASSESSMENT AND INPUT REQUIRED – examples provided 
</t>
    </r>
    <r>
      <rPr>
        <b/>
        <sz val="11"/>
        <color theme="1"/>
        <rFont val="Calibri"/>
        <family val="2"/>
        <scheme val="minor"/>
      </rPr>
      <t>* Cost benefit analysis (CBA), social return on investment (SROI) and wellbeing valuation (WV) figures have been included from the available literature. These figures are provided as an indication only and are drawn from case-specific findings. They can be used to provide a relative rather than an absolute indication of $ based returns. As information becomes more accessible, these figures can be updated to illustrate a more accurate finding. Australian dollars unless noted otherwise.</t>
    </r>
  </si>
  <si>
    <r>
      <t xml:space="preserve">ASSESSMENT AND INPUT REQUIRED – examples provided 
</t>
    </r>
    <r>
      <rPr>
        <b/>
        <sz val="11"/>
        <color theme="1"/>
        <rFont val="Calibri"/>
        <family val="2"/>
        <scheme val="minor"/>
      </rPr>
      <t>* Cost benefit analysis (CBA,) social return on investment (SROI) and wellbeing valuation (WV) figures have been included from the available literature. These figures are provided as an indication only and are drawn from case-specific findings. They can be used to provide a relative rather than an absolute indication of $ based returns. As information becomes more accessible, these figures can be updated to illustrate a more accurate finding. Australian dollars unless noted otherwise.</t>
    </r>
  </si>
  <si>
    <t>ASSESSMENT AND INPUT REQUIRED – examples provided 
* Cost benefit analysis (CBA,) social return on investment (SROI) and wellbeing valuation (WV) figures have been included from the available literature. These figures are provided as an indication only and are drawn from case-specific findings. They can be used to provide a relative rather than an absolute indication of $ based returns. As information becomes more accessible, these figures can be updated to illustrate a more accurate finding. Australian dollars unless noted otherwise.</t>
  </si>
  <si>
    <r>
      <t xml:space="preserve">ASSESSMENT AND INPUT REQUIRED – examples provided 
</t>
    </r>
    <r>
      <rPr>
        <b/>
        <sz val="11"/>
        <color theme="1"/>
        <rFont val="Calibri"/>
        <family val="2"/>
        <scheme val="minor"/>
      </rPr>
      <t xml:space="preserve">* Cost benefit analysis (CBA,) social return on investment (SROI) and wellbeing valuation (WV) figures have been included from the available literature. These figures are provided as an indication only and are drawn from case-specific findings. They can be used to provide a relative rather than an absolute indication of $ based returns. As information becomes more accessible, these figures can be updated to illustrate a more accurate finding. </t>
    </r>
    <r>
      <rPr>
        <b/>
        <sz val="14"/>
        <color theme="1"/>
        <rFont val="Calibri"/>
        <family val="2"/>
        <scheme val="minor"/>
      </rPr>
      <t xml:space="preserve"> </t>
    </r>
    <r>
      <rPr>
        <b/>
        <sz val="11"/>
        <color theme="1"/>
        <rFont val="Calibri"/>
        <family val="2"/>
        <scheme val="minor"/>
      </rPr>
      <t>Australian dollars unless noted otherwise.</t>
    </r>
  </si>
  <si>
    <r>
      <t xml:space="preserve">ASSESSMENT AND INPUT REQUIRED – examples provided 
</t>
    </r>
    <r>
      <rPr>
        <b/>
        <sz val="11"/>
        <color theme="1"/>
        <rFont val="Calibri"/>
        <family val="2"/>
        <scheme val="minor"/>
      </rPr>
      <t>* Cost benefit analysis (CBA,) social return on investment (SROI) and wellbeing valuation (WV) figures have been included from the available literature. These figures are provided as an indication only and are drawn from case-specific findings. They can be used to provide a relative rather than an absolute indication of $ based returns. As information becomes more accessible, these figures can be updated to illustrate a more accurate finding.  Australian dollars unless noted otherwise.</t>
    </r>
  </si>
  <si>
    <r>
      <t xml:space="preserve">Anglicare </t>
    </r>
    <r>
      <rPr>
        <sz val="10"/>
        <rFont val="Calibri"/>
        <family val="2"/>
      </rPr>
      <t xml:space="preserve">Rental affordability snapshot: Regional reports </t>
    </r>
    <r>
      <rPr>
        <sz val="10"/>
        <color rgb="FF000000"/>
        <rFont val="Calibri"/>
        <family val="2"/>
      </rPr>
      <t>–  https://www.anglicare.asn.au/publications/rental-affordability-snapshot-2022/
State and territory-based Housing Authority databases</t>
    </r>
  </si>
  <si>
    <r>
      <t xml:space="preserve">Strategic, policy and portfolio management engagement required
Core Logic </t>
    </r>
    <r>
      <rPr>
        <i/>
        <sz val="10"/>
        <color theme="1"/>
        <rFont val="Calibri"/>
        <family val="2"/>
        <scheme val="minor"/>
      </rPr>
      <t>Housing Affordability Report</t>
    </r>
    <r>
      <rPr>
        <sz val="10"/>
        <color theme="1"/>
        <rFont val="Calibri"/>
        <family val="2"/>
        <scheme val="minor"/>
      </rPr>
      <t xml:space="preserve"> 2021 –  https://news.anz.com/content/dam/news/articles/2021/November/ANZ_CoreLogic_Housing_Affordability_Report_2021_Final_lr.pdf
Anglicare Australia (2022b). </t>
    </r>
    <r>
      <rPr>
        <sz val="10"/>
        <rFont val="Calibri"/>
        <family val="2"/>
        <scheme val="minor"/>
      </rPr>
      <t>Rental</t>
    </r>
    <r>
      <rPr>
        <sz val="10"/>
        <color theme="1"/>
        <rFont val="Calibri"/>
        <family val="2"/>
        <scheme val="minor"/>
      </rPr>
      <t xml:space="preserve"> affordability snapshot: Regional reports April 2022. Australia</t>
    </r>
  </si>
  <si>
    <t xml:space="preserve">$102,473 Increase in education / training over 20 years (increase in stakeholders completed/completing TAFE/ other course) (Kliger, Large et al. 2011) p.5 </t>
  </si>
  <si>
    <t xml:space="preserve">New design and audits/retrofit of existing. Economic return to be calculated on a case-by-case basis from (e.g.) good passive design and solar hot-water/power
</t>
  </si>
  <si>
    <t xml:space="preserve">Reduction in waste                    </t>
  </si>
  <si>
    <t>Passive design, appropriate orientation and access to natural daylight. Ready access to public and active transport options. Issues in multi-owner dwellings  switching to solar.</t>
  </si>
  <si>
    <t>New Economy, 2015</t>
  </si>
  <si>
    <r>
      <t xml:space="preserve">A$4,846 per person, per year direct calculable government health care cost savings associated with reduced health service use following public housing entry (Wood, Flatau et al., 2016) p.6. AUS
</t>
    </r>
    <r>
      <rPr>
        <sz val="10"/>
        <rFont val="Calibri"/>
        <family val="2"/>
      </rPr>
      <t>$2,832</t>
    </r>
    <r>
      <rPr>
        <sz val="10"/>
        <color rgb="FFFF0000"/>
        <rFont val="Calibri"/>
        <family val="2"/>
      </rPr>
      <t xml:space="preserve"> </t>
    </r>
    <r>
      <rPr>
        <sz val="10"/>
        <rFont val="Calibri"/>
        <family val="2"/>
      </rPr>
      <t>Weighted</t>
    </r>
    <r>
      <rPr>
        <sz val="10"/>
        <color rgb="FF000000"/>
        <rFont val="Calibri"/>
        <family val="2"/>
      </rPr>
      <t xml:space="preserve"> average benefit per household assisted per year – SGS Economics and Planning (2022). 
Parsell, C., et al. (2015) Brisbane Common Ground Evaluation findings – Health systems savings $832,335
A$1,872 per year, per household Financial Proxy: Average annual spend on health services (Ravi and Reinhardt, 2011) p.56 Australia
Parsell, C., et al. (2015). Brisbane Common Ground Evaluation findings
A$429,975 Improved physical and mental health of women and their children over 0 years (reduced reliance on social workers through time) (Kliger, Large et al., 2011),  p. 5. Australia</t>
    </r>
  </si>
  <si>
    <r>
      <rPr>
        <sz val="10"/>
        <rFont val="Calibri"/>
        <family val="2"/>
      </rPr>
      <t>$2,462 W</t>
    </r>
    <r>
      <rPr>
        <sz val="10"/>
        <color rgb="FF000000"/>
        <rFont val="Calibri"/>
        <family val="2"/>
      </rPr>
      <t xml:space="preserve">eighted average benefit per household assisted per year – SGS Economics and Planning (2022) </t>
    </r>
  </si>
  <si>
    <t>$4,846 per person, per year direct calculable government healthcare cost savings associated with reduced health service use following public housing entry (Wood, Flatau et al., 2016) p.6.
CBA (See New Economy 2015) for service costs (fiscal values) associated with medical care
$640 per person, per year financial proxy: reduced spend on health services for ‘heavy users’ after moving into public housing (Ravi and Reinhardt, 2011) p. 3</t>
  </si>
  <si>
    <t xml:space="preserve">$1,588,519 Improved mental health of children (increased confidence and strengthened relationships with family, school etc.); $760,000 Avoided costs due to reduced drug/alcohol use over 20-year period (reduced or eliminated need for drug treatment/counselling and rehabilitation) (Kliger, Large et al., 2011)  
Fujiwara, 2013 p.33, unless noted otherwise 
Connected with: arms, legs, hand, feet, back £1,306; Chest/breathing problems, asthma, bronchitis £2,230; Heart/blood pressure or blood circulation problems £1,546; Stomach/liver/kidneys or digestive problems £6,039; Depression, anxiety £43,453 and £36,766; Youth (Trotter, Vine et al., 2014) £11,819; Alcohol or drug-related problems £24,257 and  £26,124 (Trotter, Vine et al., 2014) p.14; Migraine or frequent headaches £3,626; Health problems that limit daily activities £10,220; Health problems that limit amount or type of work £2,354 </t>
  </si>
  <si>
    <t xml:space="preserve">State correctional services datasets; ABS
</t>
  </si>
  <si>
    <r>
      <t xml:space="preserve">Parsell, C., et al. (2015). Brisbane Common Ground Evaluation findings Criminal Justice savings of $122,904
$1,781,250 Avoided costs of corrections over 20-year period (Kliger, Large et al., 2011)
CA$9,514 The cost of an average ‘stay’ in a correctional facility is estimated at          CA$142 per day for 67 days (2010 study). Affected 20,717 people. (Zon, Molson et al., 2014) p.37. CAN
CBA Crime – average cost per incident of crime, across all types of crime (fiscal, economic and social values) – fiscal value crime – average cost per incident of crime, across all types of crime (fiscal, economic and social values); economic value  £736; social value  £1,795 (New Economy, 2015). UK 
£3,684 Never arrested – youth (Trotter, Vine et al., 2014) p.14. UK </t>
    </r>
    <r>
      <rPr>
        <b/>
        <i/>
        <sz val="10"/>
        <rFont val="Calibri"/>
        <family val="2"/>
      </rPr>
      <t>1.7 times conversion applied</t>
    </r>
  </si>
  <si>
    <t xml:space="preserve">CBA ‘Offender, prison average cost across all prisons, including central costs (costs per prisoner per annum)’ – Fiscal value £34,840 (New Economy, 2015). UK
</t>
  </si>
  <si>
    <r>
      <t>Queensland Department of Communities, H. a. D. E. (2021). Queensland Housing Investment Growth Initiative – QuickStarts Qld. Brisbane, Australia
AIHW Aboriginal and Torres Strait Islander Health Performance Framework – H52 https://www.indigenoushpf.gov.au/
AIHW NSHS (</t>
    </r>
    <r>
      <rPr>
        <sz val="10"/>
        <rFont val="Calibri"/>
        <family val="2"/>
      </rPr>
      <t>2019)</t>
    </r>
    <r>
      <rPr>
        <sz val="10"/>
        <color rgb="FFFF0000"/>
        <rFont val="Calibri"/>
        <family val="2"/>
      </rPr>
      <t xml:space="preserve"> </t>
    </r>
    <r>
      <rPr>
        <sz val="10"/>
        <color rgb="FF000000"/>
        <rFont val="Calibri"/>
        <family val="2"/>
      </rPr>
      <t>Section 4 Satisfaction with Amenities</t>
    </r>
  </si>
  <si>
    <r>
      <rPr>
        <sz val="10"/>
        <rFont val="Calibri"/>
        <family val="2"/>
      </rPr>
      <t xml:space="preserve">$844 </t>
    </r>
    <r>
      <rPr>
        <sz val="10"/>
        <color rgb="FF000000"/>
        <rFont val="Calibri"/>
        <family val="2"/>
      </rPr>
      <t>Weighted average benefit per household assisted per year – SGS Economics and Planning (2022)</t>
    </r>
  </si>
  <si>
    <t>Maclennan, 2008
Orr, Feins et al., 2003</t>
  </si>
  <si>
    <r>
      <t>Maclennan, 2008</t>
    </r>
    <r>
      <rPr>
        <sz val="11"/>
        <color rgb="FF000000"/>
        <rFont val="Calibri"/>
        <family val="2"/>
      </rPr>
      <t xml:space="preserve">
</t>
    </r>
    <r>
      <rPr>
        <sz val="10"/>
        <color rgb="FF000000"/>
        <rFont val="Calibri"/>
        <family val="2"/>
      </rPr>
      <t>Boyle and Lipman, 2002
The Scottish Government, 2011a</t>
    </r>
  </si>
  <si>
    <t>CA$353.51 (in 1993 dollars) Estimated social savings per individual from increasing high school completion rates. Affected 90,648 people (Zon, Molson et al., 2014) p.37</t>
  </si>
  <si>
    <t>CA$2,600 This financial proxy based on part-time employment, instead of full-time. The difference between the average annual income of a part-time worker with a high school diploma and one with less than a high school diploma was in 2009. Affected 177,285 people (Zon, Molson et al., 2014) p.35, CAN</t>
  </si>
  <si>
    <t>$29,847 Increased taxes due to increased education over 20-year period (additional salary earned as a result of increased education) (VWHA (Kliger, Large et al., 2011)) p.4
$17,784 per person, per year, SROI as measured by part-time employment rates at minimum wage (Ravi and Reinhardt, 2011)
CA$2,600 Resulting from improved educational performance (Zon, Molson et al., 2014) p. 35
CA$4,875.55 Resulting from continued edu+H23cation and training (Zon, Molson et al., 2014)</t>
  </si>
  <si>
    <r>
      <t xml:space="preserve">A$3,016 per person, per year as compared to those earning Year 10 certificate or below (Ravi and Reinhardt, 2011) pp.3, 54, AUS
CA$2,600 This financial proxy based on part-time employment, instead of full-time. The difference between the average annual income of a part-time worker with a high school diploma and one with less than a high school diploma was in 2009. Affected 177,285 people (Zon, Molson et al., 2014) p.35, CAN                                </t>
    </r>
    <r>
      <rPr>
        <b/>
        <i/>
        <sz val="10"/>
        <color rgb="FF000000"/>
        <rFont val="Calibri"/>
        <family val="2"/>
      </rPr>
      <t>1.11 times multiplier applied</t>
    </r>
  </si>
  <si>
    <r>
      <t xml:space="preserve">Up-to-date online data, especially for specialist disability accommodation, needs improvement. Need a specific element of the market that captures accessible housing. Targeted approach for advertising required. Increased demand for accessible housing </t>
    </r>
    <r>
      <rPr>
        <sz val="10"/>
        <rFont val="Calibri"/>
        <family val="2"/>
        <scheme val="minor"/>
      </rPr>
      <t>will</t>
    </r>
    <r>
      <rPr>
        <sz val="10"/>
        <color theme="1"/>
        <rFont val="Calibri"/>
        <family val="2"/>
        <scheme val="minor"/>
      </rPr>
      <t xml:space="preserve"> lead to improved ROI </t>
    </r>
  </si>
  <si>
    <t>Use in conjunction with the SAHI Tool Guidebook</t>
  </si>
  <si>
    <t>Project officer appointments to address capacity issues of post-occupancy evaluations</t>
  </si>
  <si>
    <r>
      <t xml:space="preserve">$3,016 per person, per year as compared to those earning Year 10 certificate or below (Ravi and Reinhardt, 2011)  pp.3, 54 AUS
CA$2,600 This financial proxy based on part-time employment instead of full-time. The difference between the average annual income of a part-time worker with a high school diploma and one with less than a high school diploma was in 2009. Affected 177,285 people (Zon, Molson et al., 2014) p.35 CAN </t>
    </r>
    <r>
      <rPr>
        <b/>
        <i/>
        <sz val="10"/>
        <color rgb="FF000000"/>
        <rFont val="Calibri"/>
        <family val="2"/>
      </rPr>
      <t>1.11 times conversion applied</t>
    </r>
  </si>
  <si>
    <t>$29,847 Increased taxes due to increased education over 20-year period (additional salary earned as a result of increased education) (VWHA Kliger, Large et al., 2011) p.4
$17,784 per person, per year – SROI as measured by part-time employment rates at minimum wage (Ravi and Reinhardt, 2011)
CA$2,600 Resulting from improved educational performance (Zon, Molson et al., 2014) p.35 
CA$4,875.55 Resulting from continued education and training (Zon, Molson et al., 2014)</t>
  </si>
  <si>
    <t>This outcome shows the social impact of the participant
receiving support to help them prepare for work. ASVB Value Claculator
AURIN Regional Australia Institute (2011): LGA Human Capital Indicators 2011 – adaption, innovation and resilience in workforce</t>
  </si>
  <si>
    <t>New design and audits / retrofit of existing homes. Economic return to be calculated on a case-by-case basis</t>
  </si>
  <si>
    <r>
      <t xml:space="preserve">Living in safe neighbourhood £650 (Fujiwara, 2013) p.34 UK </t>
    </r>
    <r>
      <rPr>
        <b/>
        <i/>
        <sz val="10"/>
        <color rgb="FF000000"/>
        <rFont val="Calibri"/>
        <family val="2"/>
      </rPr>
      <t>1.7 times conversion applied</t>
    </r>
    <r>
      <rPr>
        <sz val="10"/>
        <color rgb="FF000000"/>
        <rFont val="Calibri"/>
        <family val="2"/>
      </rPr>
      <t xml:space="preserve">
£6,500 Regeneration of local area (Fujiwara, 2013) p.34 UK</t>
    </r>
  </si>
  <si>
    <t xml:space="preserve"> EXAMPLES ONLY</t>
  </si>
  <si>
    <t>(Common Ground Queensland 2016) Rod’s Story: ‘Outside of the building I participate in a weekly meditation group and a community choir, both of which I thoroughly enjoy and contribute to my overall sense of wellbeing.’ 
(Churches of Christ Housing Services, 2016) p.30 
AURIN – LGA attended local arts and cultural event last three months (Melbourne only)
AURIN SA2 OECD Indicators: Volunteering 2011
State-based sport and recreation agencies
Local government community services</t>
  </si>
  <si>
    <r>
      <t xml:space="preserve">A$3,016 per person, per year compared to those earning Year 10 certificate or below (Ravi and Reinhardt, 2011)  pp.3, 54 AUS
CA$2,600 This financial proxy based on part-time employment instead of full-time. The difference between the average annual income of a part-time worker with a high school diploma and one with less than a high school diploma was in 2009. Affected 177,285 people (Zon, Molson et al., 2014) p.35 CAN </t>
    </r>
    <r>
      <rPr>
        <b/>
        <i/>
        <sz val="10"/>
        <color rgb="FF000000"/>
        <rFont val="Calibri"/>
        <family val="2"/>
      </rPr>
      <t>1.11 times conversion applied</t>
    </r>
  </si>
  <si>
    <t>Reduced demand for health services</t>
  </si>
  <si>
    <t>Workforce efficiency e.g. Productivity Commission reporting</t>
  </si>
  <si>
    <t xml:space="preserve">Kilometres to be travelled and type of transport required
AURIN for locational information of facilities
Qld Globe for location of facilities 
AIHW –  https://indigenoushpf.gov.au/measures/1-13-community-functioning
</t>
  </si>
  <si>
    <t xml:space="preserve">FUNDING SOCIAL HOUSING SCENARIO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</si>
</sst>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7">
    <font>
      <sz val="11"/>
      <color theme="1"/>
      <name val="Calibri"/>
      <family val="2"/>
      <scheme val="minor"/>
    </font>
    <font>
      <sz val="11"/>
      <color theme="1"/>
      <name val="Calibri"/>
      <family val="2"/>
      <scheme val="minor"/>
    </font>
    <font>
      <sz val="10"/>
      <color theme="1"/>
      <name val="Times New Roman"/>
      <family val="1"/>
    </font>
    <font>
      <sz val="10"/>
      <color theme="1"/>
      <name val="Calibri"/>
      <family val="2"/>
    </font>
    <font>
      <b/>
      <sz val="10"/>
      <color theme="1"/>
      <name val="Calibri"/>
      <family val="2"/>
    </font>
    <font>
      <sz val="10"/>
      <color theme="1"/>
      <name val="Symbol"/>
      <family val="1"/>
      <charset val="2"/>
    </font>
    <font>
      <sz val="10"/>
      <color rgb="FF000000"/>
      <name val="Calibri"/>
      <family val="2"/>
    </font>
    <font>
      <u/>
      <sz val="11"/>
      <color theme="10"/>
      <name val="Calibri"/>
      <family val="2"/>
      <scheme val="minor"/>
    </font>
    <font>
      <sz val="11"/>
      <color rgb="FF000000"/>
      <name val="Calibri"/>
      <family val="2"/>
    </font>
    <font>
      <b/>
      <sz val="10"/>
      <color rgb="FF000000"/>
      <name val="Calibri"/>
      <family val="2"/>
    </font>
    <font>
      <i/>
      <sz val="10"/>
      <color rgb="FF000000"/>
      <name val="Calibri"/>
      <family val="2"/>
    </font>
    <font>
      <sz val="10"/>
      <color rgb="FF000000"/>
      <name val="Times New Roman"/>
      <family val="1"/>
    </font>
    <font>
      <sz val="10"/>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0"/>
      <name val="Calibri"/>
      <family val="2"/>
    </font>
    <font>
      <sz val="10"/>
      <name val="Calibri"/>
      <family val="2"/>
    </font>
    <font>
      <sz val="11"/>
      <name val="Calibri"/>
      <family val="2"/>
    </font>
    <font>
      <u/>
      <sz val="10"/>
      <color theme="10"/>
      <name val="Calibri"/>
      <family val="2"/>
      <scheme val="minor"/>
    </font>
    <font>
      <b/>
      <sz val="14"/>
      <color theme="1"/>
      <name val="Calibri"/>
      <family val="2"/>
      <scheme val="minor"/>
    </font>
    <font>
      <sz val="11"/>
      <color rgb="FFC00000"/>
      <name val="Calibri"/>
      <family val="2"/>
      <scheme val="minor"/>
    </font>
    <font>
      <sz val="9"/>
      <color theme="1"/>
      <name val="Calibri"/>
      <family val="2"/>
      <scheme val="minor"/>
    </font>
    <font>
      <b/>
      <sz val="14"/>
      <color theme="1"/>
      <name val="Calibri"/>
      <family val="2"/>
    </font>
    <font>
      <b/>
      <sz val="11"/>
      <color theme="1"/>
      <name val="Calibri"/>
      <family val="2"/>
    </font>
    <font>
      <b/>
      <sz val="11"/>
      <name val="Calibri"/>
      <family val="2"/>
    </font>
    <font>
      <b/>
      <sz val="14"/>
      <color rgb="FF000000"/>
      <name val="Calibri"/>
      <family val="2"/>
    </font>
    <font>
      <b/>
      <sz val="14"/>
      <color rgb="FF000000"/>
      <name val="Calibri"/>
      <family val="2"/>
      <scheme val="minor"/>
    </font>
    <font>
      <sz val="12"/>
      <color theme="1"/>
      <name val="Calibri"/>
      <family val="2"/>
      <scheme val="minor"/>
    </font>
    <font>
      <sz val="14"/>
      <color theme="1"/>
      <name val="Calibri"/>
      <family val="2"/>
      <scheme val="minor"/>
    </font>
    <font>
      <b/>
      <i/>
      <sz val="14"/>
      <color rgb="FFFF0000"/>
      <name val="Calibri"/>
      <family val="2"/>
      <scheme val="minor"/>
    </font>
    <font>
      <b/>
      <sz val="14"/>
      <color rgb="FFFF0000"/>
      <name val="Calibri"/>
      <family val="2"/>
      <scheme val="minor"/>
    </font>
    <font>
      <b/>
      <sz val="16"/>
      <color theme="1"/>
      <name val="Calibri"/>
      <family val="2"/>
      <scheme val="minor"/>
    </font>
    <font>
      <sz val="16"/>
      <color theme="1"/>
      <name val="Calibri"/>
      <family val="2"/>
      <scheme val="minor"/>
    </font>
    <font>
      <b/>
      <i/>
      <sz val="10"/>
      <color rgb="FF000000"/>
      <name val="Calibri"/>
      <family val="2"/>
    </font>
    <font>
      <b/>
      <i/>
      <sz val="10"/>
      <color theme="1"/>
      <name val="Calibri"/>
      <family val="2"/>
    </font>
    <font>
      <b/>
      <sz val="10"/>
      <name val="Calibri"/>
      <family val="2"/>
      <scheme val="minor"/>
    </font>
    <font>
      <b/>
      <i/>
      <sz val="10"/>
      <name val="Calibri"/>
      <family val="2"/>
    </font>
    <font>
      <b/>
      <sz val="16"/>
      <color rgb="FFFF0000"/>
      <name val="Calibri"/>
      <family val="2"/>
      <scheme val="minor"/>
    </font>
    <font>
      <sz val="10"/>
      <color rgb="FF000000"/>
      <name val="Tahoma"/>
      <family val="2"/>
    </font>
    <font>
      <i/>
      <sz val="10"/>
      <color theme="1"/>
      <name val="Calibri"/>
      <family val="2"/>
      <scheme val="minor"/>
    </font>
    <font>
      <i/>
      <sz val="10"/>
      <color theme="1"/>
      <name val="Calibri"/>
      <family val="2"/>
    </font>
    <font>
      <sz val="10"/>
      <color rgb="FFFF0000"/>
      <name val="Calibri"/>
      <family val="2"/>
    </font>
    <font>
      <sz val="10"/>
      <color rgb="FFFF0000"/>
      <name val="Calibri (Body)"/>
    </font>
    <font>
      <sz val="11"/>
      <color rgb="FF000000"/>
      <name val="Calibri"/>
      <family val="2"/>
      <scheme val="minor"/>
    </font>
    <font>
      <b/>
      <sz val="10"/>
      <color rgb="FF000000"/>
      <name val="Tahoma"/>
      <family val="2"/>
    </font>
    <font>
      <sz val="10"/>
      <name val="Calibri (Body)"/>
    </font>
    <font>
      <sz val="10"/>
      <color rgb="FF000000"/>
      <name val="Calibri"/>
      <family val="2"/>
      <scheme val="minor"/>
    </font>
    <font>
      <sz val="10"/>
      <color theme="1"/>
      <name val="Calibri (Body)"/>
    </font>
    <font>
      <b/>
      <sz val="10"/>
      <color theme="1"/>
      <name val="Calibri (Body)"/>
    </font>
    <font>
      <sz val="10"/>
      <color rgb="FF000000"/>
      <name val="Calibri (Body)"/>
    </font>
    <font>
      <b/>
      <sz val="10"/>
      <color rgb="FF000000"/>
      <name val="Calibri (Body)"/>
    </font>
    <font>
      <b/>
      <sz val="28"/>
      <color rgb="FF0070C0"/>
      <name val="Calibri"/>
      <family val="2"/>
      <scheme val="minor"/>
    </font>
    <font>
      <sz val="24"/>
      <color theme="8" tint="-0.249977111117893"/>
      <name val="Calibri"/>
      <family val="2"/>
      <scheme val="minor"/>
    </font>
    <font>
      <b/>
      <sz val="11"/>
      <color rgb="FF0070C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999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rgb="FFFFCCFF"/>
        <bgColor indexed="64"/>
      </patternFill>
    </fill>
    <fill>
      <patternFill patternType="solid">
        <fgColor theme="9" tint="0.59999389629810485"/>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188">
    <xf numFmtId="0" fontId="0" fillId="0" borderId="0" xfId="0"/>
    <xf numFmtId="0" fontId="1"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2" fillId="2" borderId="0" xfId="0" applyFont="1" applyFill="1" applyAlignment="1">
      <alignment vertical="top" wrapText="1"/>
    </xf>
    <xf numFmtId="0" fontId="0" fillId="0" borderId="0" xfId="0" applyAlignment="1">
      <alignment horizontal="left" vertical="top" wrapText="1"/>
    </xf>
    <xf numFmtId="0" fontId="13" fillId="0" borderId="0" xfId="0" applyFont="1" applyAlignment="1">
      <alignment horizontal="left" vertical="top"/>
    </xf>
    <xf numFmtId="0" fontId="0" fillId="0" borderId="0" xfId="0" applyAlignment="1">
      <alignment vertical="top" wrapText="1"/>
    </xf>
    <xf numFmtId="0" fontId="16" fillId="0" borderId="0" xfId="0" applyFont="1" applyAlignment="1">
      <alignment horizontal="left" vertical="top"/>
    </xf>
    <xf numFmtId="0" fontId="7" fillId="0" borderId="0" xfId="1" applyBorder="1" applyAlignment="1">
      <alignment horizontal="left" vertical="top" wrapText="1"/>
    </xf>
    <xf numFmtId="0" fontId="6" fillId="5" borderId="10" xfId="0" applyFont="1" applyFill="1" applyBorder="1" applyAlignment="1">
      <alignment horizontal="left" vertical="top" wrapText="1"/>
    </xf>
    <xf numFmtId="0" fontId="18" fillId="3" borderId="1" xfId="0" applyFont="1" applyFill="1" applyBorder="1" applyAlignment="1">
      <alignment horizontal="left" vertical="top" wrapText="1"/>
    </xf>
    <xf numFmtId="0" fontId="19" fillId="3" borderId="16" xfId="0" applyFont="1" applyFill="1" applyBorder="1" applyAlignment="1">
      <alignment horizontal="left" vertical="top" wrapText="1"/>
    </xf>
    <xf numFmtId="0" fontId="19" fillId="3" borderId="18"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0" fillId="5" borderId="3" xfId="0" applyFill="1" applyBorder="1" applyAlignment="1">
      <alignment horizontal="left" vertical="top" wrapText="1"/>
    </xf>
    <xf numFmtId="0" fontId="6" fillId="3"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2" xfId="0" applyFont="1" applyFill="1" applyBorder="1" applyAlignment="1">
      <alignment horizontal="left" vertical="top"/>
    </xf>
    <xf numFmtId="0" fontId="6"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6"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21" fillId="3" borderId="8" xfId="1" applyFont="1" applyFill="1" applyBorder="1" applyAlignment="1">
      <alignment horizontal="left" vertical="top" wrapText="1"/>
    </xf>
    <xf numFmtId="0" fontId="3" fillId="3" borderId="8" xfId="0" applyFont="1" applyFill="1" applyBorder="1" applyAlignment="1">
      <alignment horizontal="left" vertical="top" wrapText="1"/>
    </xf>
    <xf numFmtId="0" fontId="6" fillId="3" borderId="10" xfId="0" applyFont="1" applyFill="1" applyBorder="1" applyAlignment="1">
      <alignment horizontal="left" vertical="top" wrapText="1"/>
    </xf>
    <xf numFmtId="0" fontId="9" fillId="5" borderId="2" xfId="0" applyFont="1" applyFill="1" applyBorder="1" applyAlignment="1">
      <alignment horizontal="left" vertical="top" wrapText="1"/>
    </xf>
    <xf numFmtId="0" fontId="0" fillId="5" borderId="4" xfId="0" applyFill="1" applyBorder="1" applyAlignment="1">
      <alignment horizontal="left" vertical="top" wrapText="1"/>
    </xf>
    <xf numFmtId="0" fontId="2" fillId="5" borderId="4" xfId="0" applyFont="1" applyFill="1" applyBorder="1" applyAlignment="1">
      <alignment horizontal="left" vertical="top"/>
    </xf>
    <xf numFmtId="0" fontId="22" fillId="0" borderId="0" xfId="0" applyFont="1"/>
    <xf numFmtId="0" fontId="0" fillId="5" borderId="1" xfId="0" applyFill="1" applyBorder="1" applyAlignment="1">
      <alignment vertical="top" wrapText="1"/>
    </xf>
    <xf numFmtId="0" fontId="0" fillId="3" borderId="1" xfId="0" applyFill="1" applyBorder="1"/>
    <xf numFmtId="0" fontId="0" fillId="0" borderId="0" xfId="0" applyAlignment="1">
      <alignment horizontal="left"/>
    </xf>
    <xf numFmtId="0" fontId="14" fillId="0" borderId="0" xfId="0" applyFont="1"/>
    <xf numFmtId="0" fontId="6" fillId="5" borderId="3" xfId="0" applyFont="1" applyFill="1" applyBorder="1" applyAlignment="1">
      <alignment horizontal="left" vertical="top" wrapText="1"/>
    </xf>
    <xf numFmtId="0" fontId="12" fillId="3" borderId="8" xfId="0" applyFont="1" applyFill="1" applyBorder="1" applyAlignment="1">
      <alignment vertical="top" wrapText="1"/>
    </xf>
    <xf numFmtId="0" fontId="0" fillId="5" borderId="3" xfId="0" applyFill="1" applyBorder="1" applyAlignment="1">
      <alignment vertical="top" wrapText="1"/>
    </xf>
    <xf numFmtId="0" fontId="2" fillId="5" borderId="3" xfId="0" applyFont="1" applyFill="1" applyBorder="1" applyAlignment="1">
      <alignment vertical="top" wrapText="1"/>
    </xf>
    <xf numFmtId="0" fontId="9" fillId="5" borderId="3"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5" borderId="4" xfId="0" applyFill="1" applyBorder="1" applyAlignment="1">
      <alignment vertical="top" wrapText="1"/>
    </xf>
    <xf numFmtId="0" fontId="9" fillId="5" borderId="3" xfId="0" applyFont="1" applyFill="1" applyBorder="1" applyAlignment="1">
      <alignment horizontal="left" vertical="top"/>
    </xf>
    <xf numFmtId="0" fontId="9" fillId="5" borderId="2" xfId="0" applyFont="1" applyFill="1" applyBorder="1" applyAlignment="1">
      <alignment vertical="top" wrapText="1"/>
    </xf>
    <xf numFmtId="0" fontId="9" fillId="5" borderId="3" xfId="0" applyFont="1" applyFill="1" applyBorder="1" applyAlignment="1">
      <alignment vertical="top" wrapText="1"/>
    </xf>
    <xf numFmtId="0" fontId="6" fillId="3" borderId="19" xfId="0" applyFont="1" applyFill="1" applyBorder="1" applyAlignment="1">
      <alignment horizontal="left" vertical="top" wrapText="1"/>
    </xf>
    <xf numFmtId="0" fontId="6" fillId="3" borderId="8" xfId="0" applyFont="1" applyFill="1" applyBorder="1" applyAlignment="1">
      <alignment vertical="top" wrapText="1"/>
    </xf>
    <xf numFmtId="0" fontId="2" fillId="5" borderId="4" xfId="0" applyFont="1" applyFill="1" applyBorder="1" applyAlignment="1">
      <alignment vertical="top" wrapText="1"/>
    </xf>
    <xf numFmtId="0" fontId="17" fillId="3" borderId="9" xfId="1"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pplyAlignment="1">
      <alignment horizontal="center"/>
    </xf>
    <xf numFmtId="0" fontId="6"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6" fillId="3" borderId="20" xfId="0" applyFont="1" applyFill="1" applyBorder="1" applyAlignment="1">
      <alignment horizontal="left" vertical="top" wrapText="1"/>
    </xf>
    <xf numFmtId="0" fontId="3" fillId="3" borderId="20" xfId="0" applyFont="1" applyFill="1" applyBorder="1" applyAlignment="1">
      <alignment horizontal="left" vertical="top" wrapText="1"/>
    </xf>
    <xf numFmtId="0" fontId="12" fillId="3" borderId="20" xfId="0" applyFont="1" applyFill="1" applyBorder="1" applyAlignment="1">
      <alignment vertical="top" wrapText="1"/>
    </xf>
    <xf numFmtId="0" fontId="16" fillId="3" borderId="9" xfId="1" applyFont="1" applyFill="1" applyBorder="1" applyAlignment="1">
      <alignment horizontal="left" vertical="top" wrapText="1"/>
    </xf>
    <xf numFmtId="0" fontId="3" fillId="5" borderId="3" xfId="0" applyFont="1" applyFill="1" applyBorder="1" applyAlignment="1">
      <alignment horizontal="left" vertical="top" wrapText="1"/>
    </xf>
    <xf numFmtId="0" fontId="6" fillId="3" borderId="3" xfId="0" applyFont="1" applyFill="1" applyBorder="1" applyAlignment="1">
      <alignment horizontal="left" vertical="top" wrapText="1"/>
    </xf>
    <xf numFmtId="0" fontId="12" fillId="3" borderId="9" xfId="0" applyFont="1" applyFill="1" applyBorder="1" applyAlignment="1">
      <alignment vertical="top" wrapText="1"/>
    </xf>
    <xf numFmtId="0" fontId="19" fillId="3"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19" fillId="3" borderId="20" xfId="0" applyFont="1" applyFill="1" applyBorder="1" applyAlignment="1">
      <alignment horizontal="left" vertical="top" wrapText="1"/>
    </xf>
    <xf numFmtId="0" fontId="19" fillId="3" borderId="10" xfId="0" applyFont="1" applyFill="1" applyBorder="1" applyAlignment="1">
      <alignment horizontal="left" vertical="top" wrapText="1"/>
    </xf>
    <xf numFmtId="0" fontId="15"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23" fillId="0" borderId="0" xfId="0" applyFont="1"/>
    <xf numFmtId="0" fontId="0" fillId="5" borderId="2" xfId="0" applyFill="1" applyBorder="1" applyAlignment="1">
      <alignment vertical="top" wrapText="1"/>
    </xf>
    <xf numFmtId="0" fontId="0" fillId="0" borderId="1" xfId="0" applyBorder="1" applyAlignment="1">
      <alignment vertical="top" wrapText="1"/>
    </xf>
    <xf numFmtId="0" fontId="3" fillId="0" borderId="21" xfId="0" applyFont="1" applyBorder="1" applyAlignment="1">
      <alignment horizontal="left" vertical="top" wrapText="1"/>
    </xf>
    <xf numFmtId="0" fontId="6"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6" fillId="0" borderId="10" xfId="0" applyFont="1" applyBorder="1" applyAlignment="1">
      <alignment horizontal="left" vertical="top" wrapText="1"/>
    </xf>
    <xf numFmtId="0" fontId="3" fillId="0" borderId="10" xfId="0" applyFont="1" applyBorder="1" applyAlignment="1">
      <alignment horizontal="left" vertical="top" wrapText="1"/>
    </xf>
    <xf numFmtId="0" fontId="6" fillId="0" borderId="8" xfId="0" applyFont="1" applyBorder="1" applyAlignment="1">
      <alignment horizontal="left" vertical="top" wrapText="1"/>
    </xf>
    <xf numFmtId="0" fontId="3" fillId="0" borderId="23"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3" fillId="0" borderId="11" xfId="0" applyFont="1" applyBorder="1" applyAlignment="1">
      <alignment horizontal="left" vertical="top" wrapText="1"/>
    </xf>
    <xf numFmtId="0" fontId="6" fillId="0" borderId="20" xfId="0" applyFont="1" applyBorder="1" applyAlignment="1">
      <alignment horizontal="lef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3" fillId="0" borderId="9" xfId="0" applyFont="1" applyBorder="1" applyAlignment="1">
      <alignment horizontal="left" vertical="top" wrapText="1"/>
    </xf>
    <xf numFmtId="0" fontId="3" fillId="0" borderId="24" xfId="0" applyFont="1" applyBorder="1" applyAlignment="1">
      <alignment horizontal="left" vertical="top" wrapText="1"/>
    </xf>
    <xf numFmtId="0" fontId="12" fillId="0" borderId="9" xfId="0" applyFont="1" applyBorder="1" applyAlignment="1">
      <alignment wrapText="1"/>
    </xf>
    <xf numFmtId="0" fontId="12" fillId="0" borderId="10" xfId="0" applyFont="1" applyBorder="1" applyAlignment="1">
      <alignment wrapText="1"/>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0" fillId="3" borderId="1"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19" fillId="3" borderId="26" xfId="0" applyFont="1" applyFill="1" applyBorder="1" applyAlignment="1">
      <alignment horizontal="left" vertical="top" wrapText="1"/>
    </xf>
    <xf numFmtId="0" fontId="19" fillId="3" borderId="25" xfId="0" applyFont="1" applyFill="1" applyBorder="1" applyAlignment="1">
      <alignment horizontal="left" vertical="top" wrapText="1"/>
    </xf>
    <xf numFmtId="0" fontId="3" fillId="0" borderId="1" xfId="0" applyFont="1" applyBorder="1" applyAlignment="1">
      <alignment horizontal="left" vertical="top" wrapText="1"/>
    </xf>
    <xf numFmtId="0" fontId="13" fillId="0" borderId="0" xfId="0" applyFont="1" applyAlignment="1">
      <alignment horizontal="center" vertical="top"/>
    </xf>
    <xf numFmtId="0" fontId="4" fillId="6" borderId="1" xfId="0" applyFont="1" applyFill="1" applyBorder="1" applyAlignment="1">
      <alignment horizontal="left" vertical="top" wrapText="1"/>
    </xf>
    <xf numFmtId="0" fontId="15" fillId="5" borderId="2" xfId="0" applyFont="1" applyFill="1" applyBorder="1" applyAlignment="1">
      <alignment vertical="top" wrapText="1"/>
    </xf>
    <xf numFmtId="0" fontId="15" fillId="5" borderId="3" xfId="0" applyFont="1" applyFill="1" applyBorder="1" applyAlignment="1">
      <alignment vertical="top" wrapText="1"/>
    </xf>
    <xf numFmtId="0" fontId="15" fillId="5" borderId="4" xfId="0" applyFont="1" applyFill="1" applyBorder="1" applyAlignment="1">
      <alignmen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3" fillId="0" borderId="20" xfId="0" applyFont="1" applyBorder="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0" fillId="0" borderId="2" xfId="0" applyBorder="1" applyAlignment="1">
      <alignment horizontal="left" vertical="top" wrapText="1"/>
    </xf>
    <xf numFmtId="0" fontId="6" fillId="0" borderId="22" xfId="0" applyFont="1" applyBorder="1" applyAlignment="1">
      <alignment horizontal="left" vertical="top" wrapText="1"/>
    </xf>
    <xf numFmtId="0" fontId="3" fillId="0" borderId="22" xfId="0" applyFont="1" applyBorder="1" applyAlignment="1">
      <alignment horizontal="left" vertical="top" wrapText="1"/>
    </xf>
    <xf numFmtId="0" fontId="29" fillId="0" borderId="0" xfId="0" applyFont="1" applyAlignment="1">
      <alignment vertical="top"/>
    </xf>
    <xf numFmtId="0" fontId="13" fillId="0" borderId="0" xfId="0" applyFont="1"/>
    <xf numFmtId="0" fontId="0" fillId="0" borderId="0" xfId="0" applyAlignment="1">
      <alignment horizontal="center" vertical="top" wrapText="1"/>
    </xf>
    <xf numFmtId="0" fontId="30" fillId="0" borderId="0" xfId="0" applyFont="1"/>
    <xf numFmtId="0" fontId="0" fillId="0" borderId="0" xfId="0" applyAlignment="1">
      <alignment wrapText="1"/>
    </xf>
    <xf numFmtId="0" fontId="6" fillId="0" borderId="12" xfId="0" applyFont="1" applyBorder="1" applyAlignment="1">
      <alignment horizontal="left" vertical="top" wrapText="1"/>
    </xf>
    <xf numFmtId="0" fontId="12" fillId="0" borderId="20" xfId="0" applyFont="1" applyBorder="1" applyAlignment="1">
      <alignment vertical="top" wrapText="1"/>
    </xf>
    <xf numFmtId="0" fontId="4" fillId="6" borderId="6" xfId="0" applyFont="1" applyFill="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0" fontId="3" fillId="0" borderId="25" xfId="0" applyFont="1" applyBorder="1" applyAlignment="1">
      <alignment horizontal="left" vertical="top" wrapText="1"/>
    </xf>
    <xf numFmtId="0" fontId="12" fillId="3" borderId="8" xfId="0" applyFont="1" applyFill="1" applyBorder="1" applyAlignment="1">
      <alignment horizontal="left" vertical="top" wrapText="1"/>
    </xf>
    <xf numFmtId="0" fontId="0" fillId="3" borderId="8" xfId="0" applyFill="1" applyBorder="1"/>
    <xf numFmtId="0" fontId="0" fillId="3" borderId="9" xfId="0" applyFill="1" applyBorder="1"/>
    <xf numFmtId="0" fontId="6" fillId="0" borderId="11" xfId="0" applyFont="1" applyBorder="1" applyAlignment="1">
      <alignment horizontal="left" vertical="top" wrapText="1"/>
    </xf>
    <xf numFmtId="0" fontId="12" fillId="0" borderId="19" xfId="0" applyFont="1" applyBorder="1" applyAlignment="1">
      <alignment vertical="top" wrapText="1"/>
    </xf>
    <xf numFmtId="0" fontId="15" fillId="5" borderId="3" xfId="0" applyFont="1" applyFill="1" applyBorder="1" applyAlignment="1">
      <alignment horizontal="left" vertical="top" wrapText="1"/>
    </xf>
    <xf numFmtId="0" fontId="0" fillId="0" borderId="9" xfId="0" applyBorder="1" applyAlignment="1">
      <alignment horizontal="left" vertical="top" wrapText="1"/>
    </xf>
    <xf numFmtId="0" fontId="4" fillId="5" borderId="4" xfId="0" applyFont="1" applyFill="1" applyBorder="1" applyAlignment="1">
      <alignment horizontal="left" vertical="top" wrapText="1"/>
    </xf>
    <xf numFmtId="0" fontId="6" fillId="10" borderId="10" xfId="0" applyFont="1" applyFill="1" applyBorder="1" applyAlignment="1">
      <alignment horizontal="left" vertical="top" wrapText="1"/>
    </xf>
    <xf numFmtId="0" fontId="4" fillId="10"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25" fillId="0" borderId="0" xfId="0" applyFont="1" applyAlignment="1">
      <alignment horizontal="left" vertical="top"/>
    </xf>
    <xf numFmtId="0" fontId="6" fillId="10" borderId="1" xfId="0" applyFont="1" applyFill="1" applyBorder="1" applyAlignment="1">
      <alignment horizontal="left" vertical="top" wrapText="1"/>
    </xf>
    <xf numFmtId="0" fontId="6" fillId="10" borderId="8" xfId="0" applyFont="1" applyFill="1" applyBorder="1" applyAlignment="1">
      <alignment horizontal="left" vertical="top" wrapText="1"/>
    </xf>
    <xf numFmtId="0" fontId="12" fillId="10" borderId="8" xfId="0" applyFont="1" applyFill="1" applyBorder="1" applyAlignment="1">
      <alignment vertical="top" wrapText="1"/>
    </xf>
    <xf numFmtId="0" fontId="12" fillId="10" borderId="9" xfId="0" applyFont="1" applyFill="1" applyBorder="1" applyAlignment="1">
      <alignment vertical="top" wrapText="1"/>
    </xf>
    <xf numFmtId="0" fontId="12" fillId="10" borderId="10" xfId="0" applyFont="1" applyFill="1" applyBorder="1" applyAlignment="1">
      <alignment vertical="top" wrapText="1"/>
    </xf>
    <xf numFmtId="0" fontId="6" fillId="5" borderId="4" xfId="0" applyFont="1" applyFill="1" applyBorder="1" applyAlignment="1">
      <alignment horizontal="left" vertical="top" wrapText="1"/>
    </xf>
    <xf numFmtId="0" fontId="12" fillId="0" borderId="19" xfId="0" applyFont="1" applyBorder="1" applyAlignment="1">
      <alignment wrapText="1"/>
    </xf>
    <xf numFmtId="0" fontId="9" fillId="5" borderId="8" xfId="0" applyFont="1" applyFill="1" applyBorder="1" applyAlignment="1">
      <alignment horizontal="left" vertical="top" wrapText="1"/>
    </xf>
    <xf numFmtId="0" fontId="12" fillId="3" borderId="10" xfId="0" applyFont="1" applyFill="1" applyBorder="1" applyAlignment="1">
      <alignment vertical="top" wrapText="1"/>
    </xf>
    <xf numFmtId="0" fontId="18" fillId="5" borderId="22" xfId="0" applyFont="1" applyFill="1" applyBorder="1" applyAlignment="1">
      <alignment horizontal="left" vertical="top" wrapText="1"/>
    </xf>
    <xf numFmtId="0" fontId="6" fillId="10" borderId="8" xfId="0" applyFont="1" applyFill="1" applyBorder="1" applyAlignment="1">
      <alignment vertical="top" wrapText="1"/>
    </xf>
    <xf numFmtId="0" fontId="15" fillId="5" borderId="1" xfId="0" applyFont="1" applyFill="1" applyBorder="1" applyAlignment="1">
      <alignment vertical="top" wrapText="1"/>
    </xf>
    <xf numFmtId="0" fontId="12" fillId="10" borderId="1" xfId="0" applyFont="1" applyFill="1" applyBorder="1" applyAlignment="1">
      <alignment horizontal="left" vertical="top" wrapText="1"/>
    </xf>
    <xf numFmtId="0" fontId="6" fillId="10" borderId="19" xfId="0" applyFont="1" applyFill="1" applyBorder="1" applyAlignment="1">
      <alignment horizontal="left" vertical="top" wrapText="1"/>
    </xf>
    <xf numFmtId="0" fontId="15" fillId="5" borderId="8" xfId="0" applyFont="1" applyFill="1" applyBorder="1" applyAlignment="1">
      <alignment horizontal="left" vertical="top" wrapText="1"/>
    </xf>
    <xf numFmtId="0" fontId="17" fillId="3" borderId="9" xfId="0" applyFont="1" applyFill="1" applyBorder="1" applyAlignment="1">
      <alignment horizontal="left" vertical="top" wrapText="1"/>
    </xf>
    <xf numFmtId="0" fontId="7" fillId="3" borderId="10" xfId="1" applyFill="1" applyBorder="1" applyAlignment="1">
      <alignment horizontal="left" vertical="top" wrapText="1"/>
    </xf>
    <xf numFmtId="0" fontId="9" fillId="5" borderId="27" xfId="0" applyFont="1" applyFill="1" applyBorder="1" applyAlignment="1">
      <alignment horizontal="left" vertical="top" wrapText="1"/>
    </xf>
    <xf numFmtId="0" fontId="9" fillId="5" borderId="35" xfId="0" applyFont="1" applyFill="1" applyBorder="1" applyAlignment="1">
      <alignment horizontal="left" vertical="top" wrapText="1"/>
    </xf>
    <xf numFmtId="0" fontId="4" fillId="5" borderId="35" xfId="0" applyFont="1" applyFill="1" applyBorder="1" applyAlignment="1">
      <alignment horizontal="left" vertical="top" wrapText="1"/>
    </xf>
    <xf numFmtId="0" fontId="30" fillId="0" borderId="0" xfId="0" applyFont="1" applyAlignment="1">
      <alignment horizontal="left" vertical="top"/>
    </xf>
    <xf numFmtId="0" fontId="0" fillId="0" borderId="10" xfId="0" applyBorder="1"/>
    <xf numFmtId="0" fontId="0" fillId="5" borderId="4" xfId="0" applyFill="1" applyBorder="1"/>
    <xf numFmtId="0" fontId="32" fillId="0" borderId="0" xfId="0" applyFont="1"/>
    <xf numFmtId="0" fontId="15" fillId="5" borderId="0" xfId="0" applyFont="1" applyFill="1" applyAlignment="1">
      <alignment horizontal="left" vertical="top" wrapText="1"/>
    </xf>
    <xf numFmtId="0" fontId="0" fillId="5" borderId="3" xfId="0" applyFill="1" applyBorder="1" applyAlignment="1">
      <alignment horizontal="left" vertical="top"/>
    </xf>
    <xf numFmtId="0" fontId="0" fillId="5" borderId="4" xfId="0" applyFill="1" applyBorder="1" applyAlignment="1">
      <alignment horizontal="left" vertical="top"/>
    </xf>
    <xf numFmtId="0" fontId="33" fillId="0" borderId="0" xfId="0" applyFont="1" applyAlignment="1">
      <alignment horizontal="left" vertical="top"/>
    </xf>
    <xf numFmtId="0" fontId="15" fillId="5" borderId="2" xfId="0" applyFont="1" applyFill="1" applyBorder="1" applyAlignment="1">
      <alignment horizontal="left" vertical="top"/>
    </xf>
    <xf numFmtId="0" fontId="13" fillId="5" borderId="3" xfId="0" applyFont="1" applyFill="1" applyBorder="1" applyAlignment="1">
      <alignment horizontal="left" vertical="top"/>
    </xf>
    <xf numFmtId="0" fontId="12" fillId="0" borderId="8" xfId="0" applyFont="1" applyBorder="1" applyAlignment="1">
      <alignment horizontal="left" vertical="top" wrapText="1"/>
    </xf>
    <xf numFmtId="0" fontId="15" fillId="5" borderId="1" xfId="0" applyFont="1" applyFill="1" applyBorder="1" applyAlignment="1">
      <alignment horizontal="left" vertical="top"/>
    </xf>
    <xf numFmtId="0" fontId="6" fillId="0" borderId="3" xfId="0" applyFont="1" applyBorder="1" applyAlignment="1">
      <alignment horizontal="left" vertical="top" wrapText="1"/>
    </xf>
    <xf numFmtId="0" fontId="12" fillId="0" borderId="9" xfId="0" applyFont="1" applyBorder="1" applyAlignment="1">
      <alignment horizontal="left" vertical="top" wrapText="1"/>
    </xf>
    <xf numFmtId="0" fontId="15" fillId="0" borderId="0" xfId="0" applyFont="1" applyAlignment="1">
      <alignment vertical="top" wrapText="1"/>
    </xf>
    <xf numFmtId="0" fontId="12" fillId="0" borderId="0" xfId="0" applyFont="1" applyAlignment="1">
      <alignment vertical="top" wrapText="1"/>
    </xf>
    <xf numFmtId="0" fontId="0" fillId="0" borderId="5" xfId="0" applyBorder="1" applyAlignment="1">
      <alignment horizontal="left" vertical="top"/>
    </xf>
    <xf numFmtId="0" fontId="18" fillId="0" borderId="0" xfId="0" applyFont="1" applyAlignment="1">
      <alignment horizontal="center" vertical="top" wrapText="1"/>
    </xf>
    <xf numFmtId="0" fontId="16" fillId="0" borderId="0" xfId="0" applyFont="1" applyAlignment="1">
      <alignment horizontal="center" vertical="top" wrapText="1"/>
    </xf>
    <xf numFmtId="0" fontId="0" fillId="11" borderId="1" xfId="0" applyFill="1" applyBorder="1"/>
    <xf numFmtId="0" fontId="0" fillId="11" borderId="9" xfId="0" applyFill="1" applyBorder="1" applyAlignment="1">
      <alignment horizontal="left" vertical="top" wrapText="1"/>
    </xf>
    <xf numFmtId="0" fontId="12" fillId="11" borderId="30" xfId="0" applyFont="1" applyFill="1" applyBorder="1" applyAlignment="1">
      <alignment wrapText="1"/>
    </xf>
    <xf numFmtId="0" fontId="3" fillId="0" borderId="19" xfId="0" applyFont="1" applyBorder="1" applyAlignment="1">
      <alignment horizontal="left" vertical="top" wrapText="1"/>
    </xf>
    <xf numFmtId="0" fontId="9" fillId="0" borderId="0" xfId="0" applyFont="1" applyAlignment="1">
      <alignment horizontal="center" vertical="top" wrapText="1"/>
    </xf>
    <xf numFmtId="0" fontId="0" fillId="0" borderId="3"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6"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25" xfId="0" applyFont="1" applyBorder="1" applyAlignment="1">
      <alignment horizontal="left" vertical="top" wrapText="1"/>
    </xf>
    <xf numFmtId="0" fontId="3" fillId="0" borderId="42" xfId="0" applyFont="1" applyBorder="1" applyAlignment="1">
      <alignment horizontal="left" vertical="top" wrapText="1"/>
    </xf>
    <xf numFmtId="0" fontId="3" fillId="0" borderId="32" xfId="0" applyFont="1" applyBorder="1" applyAlignment="1">
      <alignment horizontal="left" vertical="top" wrapText="1"/>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0" fontId="3" fillId="0" borderId="48" xfId="0" applyFont="1" applyBorder="1" applyAlignment="1">
      <alignment horizontal="left" vertical="top" wrapText="1"/>
    </xf>
    <xf numFmtId="0" fontId="12" fillId="0" borderId="26" xfId="0" applyFont="1" applyBorder="1" applyAlignment="1">
      <alignment vertical="top" wrapText="1"/>
    </xf>
    <xf numFmtId="0" fontId="12" fillId="0" borderId="31" xfId="0" applyFont="1" applyBorder="1" applyAlignment="1">
      <alignment vertical="top" wrapText="1"/>
    </xf>
    <xf numFmtId="0" fontId="12" fillId="0" borderId="25" xfId="0" applyFont="1" applyBorder="1" applyAlignment="1">
      <alignment vertical="top" wrapText="1"/>
    </xf>
    <xf numFmtId="0" fontId="4" fillId="6" borderId="57" xfId="0" applyFont="1" applyFill="1" applyBorder="1" applyAlignment="1">
      <alignment horizontal="center" vertical="top" wrapText="1"/>
    </xf>
    <xf numFmtId="0" fontId="4" fillId="6" borderId="58" xfId="0" applyFont="1" applyFill="1" applyBorder="1" applyAlignment="1">
      <alignment horizontal="center" vertical="top" wrapText="1"/>
    </xf>
    <xf numFmtId="0" fontId="4" fillId="6" borderId="59" xfId="0" applyFont="1" applyFill="1" applyBorder="1" applyAlignment="1">
      <alignment horizontal="center" vertical="top" wrapText="1"/>
    </xf>
    <xf numFmtId="0" fontId="9" fillId="0" borderId="0" xfId="0" applyFont="1" applyAlignment="1">
      <alignment horizontal="left" vertical="top" wrapText="1"/>
    </xf>
    <xf numFmtId="0" fontId="6" fillId="0" borderId="6" xfId="0" applyFont="1" applyBorder="1" applyAlignment="1">
      <alignment horizontal="left" vertical="top" wrapText="1"/>
    </xf>
    <xf numFmtId="0" fontId="6" fillId="0" borderId="26" xfId="0" applyFont="1" applyBorder="1" applyAlignment="1">
      <alignment horizontal="left" vertical="top" wrapText="1"/>
    </xf>
    <xf numFmtId="0" fontId="6" fillId="0" borderId="31" xfId="0" applyFont="1" applyBorder="1" applyAlignment="1">
      <alignment horizontal="left" vertical="top" wrapText="1"/>
    </xf>
    <xf numFmtId="0" fontId="2" fillId="0" borderId="0" xfId="0" applyFont="1" applyAlignment="1">
      <alignment horizontal="left" vertical="top"/>
    </xf>
    <xf numFmtId="0" fontId="6" fillId="0" borderId="35" xfId="0" applyFont="1" applyBorder="1" applyAlignment="1">
      <alignment horizontal="left" vertical="top" wrapText="1"/>
    </xf>
    <xf numFmtId="0" fontId="28" fillId="0" borderId="0" xfId="0" applyFont="1" applyAlignment="1">
      <alignment horizontal="center" vertical="top" wrapText="1"/>
    </xf>
    <xf numFmtId="0" fontId="34" fillId="0" borderId="0" xfId="0" applyFont="1"/>
    <xf numFmtId="0" fontId="35" fillId="0" borderId="0" xfId="0" applyFont="1"/>
    <xf numFmtId="0" fontId="34" fillId="0" borderId="0" xfId="0" applyFont="1" applyAlignment="1">
      <alignment horizontal="center"/>
    </xf>
    <xf numFmtId="0" fontId="35" fillId="0" borderId="8" xfId="0" applyFont="1" applyBorder="1"/>
    <xf numFmtId="164" fontId="35" fillId="0" borderId="8" xfId="0" applyNumberFormat="1" applyFont="1" applyBorder="1" applyAlignment="1">
      <alignment horizontal="center"/>
    </xf>
    <xf numFmtId="0" fontId="35" fillId="0" borderId="9" xfId="0" applyFont="1" applyBorder="1"/>
    <xf numFmtId="164" fontId="35" fillId="0" borderId="9" xfId="0" applyNumberFormat="1" applyFont="1" applyBorder="1" applyAlignment="1">
      <alignment horizontal="center"/>
    </xf>
    <xf numFmtId="0" fontId="35" fillId="0" borderId="10" xfId="0" applyFont="1" applyBorder="1"/>
    <xf numFmtId="164" fontId="35" fillId="0" borderId="10" xfId="0" applyNumberFormat="1" applyFont="1" applyBorder="1" applyAlignment="1">
      <alignment horizontal="center"/>
    </xf>
    <xf numFmtId="0" fontId="35" fillId="0" borderId="1" xfId="0" applyFont="1" applyBorder="1"/>
    <xf numFmtId="164" fontId="35" fillId="0" borderId="1" xfId="0" applyNumberFormat="1" applyFont="1" applyBorder="1" applyAlignment="1">
      <alignment horizontal="center"/>
    </xf>
    <xf numFmtId="0" fontId="6" fillId="0" borderId="38" xfId="0" applyFont="1" applyBorder="1" applyAlignment="1">
      <alignment horizontal="left" vertical="top" wrapText="1"/>
    </xf>
    <xf numFmtId="0" fontId="6" fillId="0" borderId="60" xfId="0" applyFont="1" applyBorder="1" applyAlignment="1">
      <alignment horizontal="left" vertical="top" wrapText="1"/>
    </xf>
    <xf numFmtId="0" fontId="6" fillId="0" borderId="27" xfId="0" applyFont="1" applyBorder="1" applyAlignment="1">
      <alignment horizontal="left" vertical="top" wrapText="1"/>
    </xf>
    <xf numFmtId="0" fontId="0" fillId="0" borderId="6" xfId="0" applyBorder="1" applyAlignment="1">
      <alignment vertical="top" wrapText="1"/>
    </xf>
    <xf numFmtId="0" fontId="12" fillId="0" borderId="38" xfId="0" applyFont="1" applyBorder="1" applyAlignment="1">
      <alignment vertical="top" wrapText="1"/>
    </xf>
    <xf numFmtId="0" fontId="3" fillId="0" borderId="39" xfId="0" applyFont="1" applyBorder="1" applyAlignment="1">
      <alignment horizontal="left" vertical="top" wrapText="1"/>
    </xf>
    <xf numFmtId="0" fontId="15" fillId="5" borderId="1" xfId="0" applyFont="1" applyFill="1" applyBorder="1" applyAlignment="1">
      <alignment horizontal="left" vertical="top" wrapText="1"/>
    </xf>
    <xf numFmtId="0" fontId="13" fillId="0" borderId="1"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0" xfId="0" applyFont="1" applyAlignment="1">
      <alignment horizontal="center" vertical="center" textRotation="90" wrapText="1"/>
    </xf>
    <xf numFmtId="0" fontId="12" fillId="0" borderId="60" xfId="0" applyFont="1" applyBorder="1" applyAlignment="1">
      <alignment horizontal="left" vertical="top" wrapText="1"/>
    </xf>
    <xf numFmtId="0" fontId="9" fillId="5" borderId="10" xfId="0" applyFont="1" applyFill="1" applyBorder="1" applyAlignment="1">
      <alignment horizontal="left" vertical="top" wrapText="1"/>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16" fillId="7" borderId="8" xfId="0" applyFont="1" applyFill="1" applyBorder="1" applyAlignment="1">
      <alignment horizontal="center" vertical="center"/>
    </xf>
    <xf numFmtId="0" fontId="6" fillId="10" borderId="2" xfId="0" applyFont="1" applyFill="1" applyBorder="1" applyAlignment="1">
      <alignment horizontal="left" vertical="top" wrapText="1"/>
    </xf>
    <xf numFmtId="0" fontId="16" fillId="4" borderId="2" xfId="0" applyFont="1" applyFill="1" applyBorder="1" applyAlignment="1">
      <alignment horizontal="center" vertical="center"/>
    </xf>
    <xf numFmtId="164" fontId="0" fillId="0" borderId="15" xfId="0" applyNumberFormat="1" applyBorder="1" applyAlignment="1">
      <alignment horizontal="center"/>
    </xf>
    <xf numFmtId="164" fontId="0" fillId="0" borderId="8" xfId="0" applyNumberFormat="1" applyBorder="1" applyAlignment="1">
      <alignment horizontal="center"/>
    </xf>
    <xf numFmtId="164" fontId="0" fillId="0" borderId="16" xfId="0" applyNumberFormat="1" applyBorder="1" applyAlignment="1">
      <alignment horizontal="center"/>
    </xf>
    <xf numFmtId="164" fontId="0" fillId="0" borderId="17" xfId="0" applyNumberFormat="1" applyBorder="1" applyAlignment="1">
      <alignment horizontal="center"/>
    </xf>
    <xf numFmtId="164" fontId="0" fillId="0" borderId="9" xfId="0" applyNumberFormat="1" applyBorder="1" applyAlignment="1">
      <alignment horizontal="center" vertical="top"/>
    </xf>
    <xf numFmtId="164" fontId="0" fillId="0" borderId="42" xfId="0" applyNumberFormat="1" applyBorder="1" applyAlignment="1">
      <alignment horizontal="center"/>
    </xf>
    <xf numFmtId="164" fontId="0" fillId="0" borderId="10" xfId="0" applyNumberFormat="1" applyBorder="1" applyAlignment="1">
      <alignment horizontal="center" vertical="top"/>
    </xf>
    <xf numFmtId="164" fontId="16" fillId="0" borderId="54" xfId="0" applyNumberFormat="1" applyFont="1" applyBorder="1" applyAlignment="1">
      <alignment horizontal="center"/>
    </xf>
    <xf numFmtId="164" fontId="16" fillId="0" borderId="20" xfId="0" applyNumberFormat="1" applyFont="1" applyBorder="1" applyAlignment="1">
      <alignment horizontal="center"/>
    </xf>
    <xf numFmtId="164" fontId="0" fillId="0" borderId="9" xfId="0" applyNumberFormat="1" applyBorder="1" applyAlignment="1">
      <alignment horizontal="center"/>
    </xf>
    <xf numFmtId="164" fontId="0" fillId="0" borderId="18" xfId="0" applyNumberFormat="1" applyBorder="1" applyAlignment="1">
      <alignment horizontal="center"/>
    </xf>
    <xf numFmtId="164" fontId="16" fillId="0" borderId="17" xfId="0" applyNumberFormat="1" applyFont="1" applyBorder="1" applyAlignment="1">
      <alignment horizontal="center"/>
    </xf>
    <xf numFmtId="164" fontId="16" fillId="0" borderId="9" xfId="0" applyNumberFormat="1" applyFont="1" applyBorder="1" applyAlignment="1">
      <alignment horizontal="center"/>
    </xf>
    <xf numFmtId="164" fontId="16" fillId="0" borderId="18" xfId="0" applyNumberFormat="1" applyFont="1" applyBorder="1" applyAlignment="1">
      <alignment horizontal="center"/>
    </xf>
    <xf numFmtId="164" fontId="0" fillId="0" borderId="10" xfId="0" applyNumberFormat="1" applyBorder="1" applyAlignment="1">
      <alignment horizontal="center"/>
    </xf>
    <xf numFmtId="164" fontId="0" fillId="0" borderId="32" xfId="0" applyNumberFormat="1" applyBorder="1" applyAlignment="1">
      <alignment horizontal="center"/>
    </xf>
    <xf numFmtId="164" fontId="13" fillId="0" borderId="49" xfId="0" applyNumberFormat="1" applyFont="1" applyBorder="1" applyAlignment="1">
      <alignment horizontal="center" vertical="top"/>
    </xf>
    <xf numFmtId="164" fontId="13" fillId="0" borderId="61" xfId="0" applyNumberFormat="1" applyFont="1" applyBorder="1" applyAlignment="1">
      <alignment horizontal="center" vertical="top"/>
    </xf>
    <xf numFmtId="0" fontId="4" fillId="6" borderId="62" xfId="0" applyFont="1" applyFill="1" applyBorder="1" applyAlignment="1">
      <alignment horizontal="center" vertical="top" wrapText="1"/>
    </xf>
    <xf numFmtId="0" fontId="4" fillId="6" borderId="63" xfId="0" applyFont="1" applyFill="1" applyBorder="1" applyAlignment="1">
      <alignment horizontal="center" vertical="top" wrapText="1"/>
    </xf>
    <xf numFmtId="0" fontId="4" fillId="6" borderId="64" xfId="0" applyFont="1" applyFill="1" applyBorder="1" applyAlignment="1">
      <alignment horizontal="center" vertical="top" wrapText="1"/>
    </xf>
    <xf numFmtId="164" fontId="0" fillId="0" borderId="65" xfId="0" applyNumberFormat="1" applyBorder="1" applyAlignment="1">
      <alignment horizontal="center"/>
    </xf>
    <xf numFmtId="164" fontId="0" fillId="0" borderId="66" xfId="0" applyNumberFormat="1" applyBorder="1" applyAlignment="1">
      <alignment horizontal="center"/>
    </xf>
    <xf numFmtId="164" fontId="0" fillId="0" borderId="67" xfId="0" applyNumberFormat="1" applyBorder="1" applyAlignment="1">
      <alignment horizontal="center"/>
    </xf>
    <xf numFmtId="164" fontId="16" fillId="0" borderId="52" xfId="0" applyNumberFormat="1" applyFont="1" applyBorder="1" applyAlignment="1">
      <alignment horizontal="center"/>
    </xf>
    <xf numFmtId="164" fontId="16" fillId="0" borderId="19" xfId="0" applyNumberFormat="1" applyFont="1" applyBorder="1" applyAlignment="1">
      <alignment horizontal="center"/>
    </xf>
    <xf numFmtId="164" fontId="16" fillId="0" borderId="53" xfId="0" applyNumberFormat="1" applyFont="1" applyBorder="1" applyAlignment="1">
      <alignment horizontal="center"/>
    </xf>
    <xf numFmtId="164" fontId="16" fillId="0" borderId="42" xfId="0" applyNumberFormat="1" applyFont="1" applyBorder="1" applyAlignment="1">
      <alignment horizontal="center"/>
    </xf>
    <xf numFmtId="164" fontId="16" fillId="0" borderId="10" xfId="0" applyNumberFormat="1" applyFont="1" applyBorder="1" applyAlignment="1">
      <alignment horizontal="center"/>
    </xf>
    <xf numFmtId="164" fontId="16" fillId="0" borderId="32" xfId="0" applyNumberFormat="1" applyFont="1" applyBorder="1" applyAlignment="1">
      <alignment horizontal="center"/>
    </xf>
    <xf numFmtId="164" fontId="13" fillId="0" borderId="68" xfId="0" applyNumberFormat="1" applyFont="1" applyBorder="1" applyAlignment="1">
      <alignment horizontal="center" vertical="top"/>
    </xf>
    <xf numFmtId="164" fontId="13" fillId="0" borderId="69" xfId="0" applyNumberFormat="1" applyFont="1" applyBorder="1" applyAlignment="1">
      <alignment horizontal="center" vertical="top"/>
    </xf>
    <xf numFmtId="164" fontId="13" fillId="0" borderId="70" xfId="0" applyNumberFormat="1" applyFont="1" applyBorder="1" applyAlignment="1">
      <alignment horizontal="center" vertical="top"/>
    </xf>
    <xf numFmtId="164" fontId="3" fillId="0" borderId="51" xfId="0" applyNumberFormat="1" applyFont="1" applyBorder="1" applyAlignment="1">
      <alignment horizontal="center" vertical="top" wrapText="1"/>
    </xf>
    <xf numFmtId="164" fontId="3" fillId="0" borderId="50" xfId="0" applyNumberFormat="1" applyFont="1" applyBorder="1" applyAlignment="1">
      <alignment horizontal="center" vertical="top" wrapText="1"/>
    </xf>
    <xf numFmtId="164" fontId="13" fillId="0" borderId="72" xfId="0" applyNumberFormat="1" applyFont="1" applyBorder="1" applyAlignment="1">
      <alignment horizontal="center" vertical="top"/>
    </xf>
    <xf numFmtId="0" fontId="12" fillId="0" borderId="15" xfId="0" applyFont="1" applyBorder="1" applyAlignment="1">
      <alignment vertical="top" wrapText="1"/>
    </xf>
    <xf numFmtId="0" fontId="12" fillId="0" borderId="17" xfId="0" applyFont="1" applyBorder="1" applyAlignment="1">
      <alignment vertical="top" wrapText="1"/>
    </xf>
    <xf numFmtId="0" fontId="12" fillId="0" borderId="42" xfId="0" applyFont="1" applyBorder="1" applyAlignment="1">
      <alignment vertical="top" wrapText="1"/>
    </xf>
    <xf numFmtId="164" fontId="16" fillId="0" borderId="15" xfId="0" applyNumberFormat="1" applyFont="1" applyBorder="1" applyAlignment="1">
      <alignment horizontal="center"/>
    </xf>
    <xf numFmtId="164" fontId="16" fillId="0" borderId="8" xfId="0" applyNumberFormat="1" applyFont="1" applyBorder="1" applyAlignment="1">
      <alignment horizontal="center"/>
    </xf>
    <xf numFmtId="164" fontId="16" fillId="0" borderId="16" xfId="0" applyNumberFormat="1" applyFont="1" applyBorder="1" applyAlignment="1">
      <alignment horizontal="center"/>
    </xf>
    <xf numFmtId="164" fontId="0" fillId="0" borderId="26" xfId="0" applyNumberFormat="1" applyBorder="1" applyAlignment="1">
      <alignment horizontal="center"/>
    </xf>
    <xf numFmtId="164" fontId="0" fillId="0" borderId="25" xfId="0" applyNumberFormat="1" applyBorder="1" applyAlignment="1">
      <alignment horizontal="center"/>
    </xf>
    <xf numFmtId="164" fontId="0" fillId="0" borderId="31" xfId="0" applyNumberFormat="1" applyBorder="1" applyAlignment="1">
      <alignment horizontal="center"/>
    </xf>
    <xf numFmtId="0" fontId="12" fillId="0" borderId="6" xfId="0" applyFont="1" applyBorder="1" applyAlignment="1">
      <alignment vertical="top" wrapText="1"/>
    </xf>
    <xf numFmtId="0" fontId="12" fillId="0" borderId="1" xfId="0" applyFont="1" applyBorder="1" applyAlignment="1">
      <alignment vertical="top" wrapText="1"/>
    </xf>
    <xf numFmtId="0" fontId="6" fillId="0" borderId="52" xfId="0" applyFont="1" applyBorder="1" applyAlignment="1">
      <alignment horizontal="left" vertical="top" wrapText="1"/>
    </xf>
    <xf numFmtId="0" fontId="0" fillId="3" borderId="10" xfId="0" applyFill="1" applyBorder="1"/>
    <xf numFmtId="0" fontId="0" fillId="9" borderId="1" xfId="0" applyFill="1" applyBorder="1" applyAlignment="1">
      <alignment horizontal="center"/>
    </xf>
    <xf numFmtId="0" fontId="0" fillId="12" borderId="1" xfId="0" applyFill="1" applyBorder="1" applyAlignment="1">
      <alignment horizontal="center"/>
    </xf>
    <xf numFmtId="0" fontId="16" fillId="8" borderId="1" xfId="0" applyFont="1" applyFill="1" applyBorder="1" applyAlignment="1">
      <alignment horizontal="center"/>
    </xf>
    <xf numFmtId="0" fontId="0" fillId="7" borderId="1" xfId="0"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center"/>
    </xf>
    <xf numFmtId="0" fontId="3" fillId="4" borderId="8" xfId="0" applyFont="1" applyFill="1" applyBorder="1" applyAlignment="1">
      <alignment horizontal="left" vertical="top" wrapText="1"/>
    </xf>
    <xf numFmtId="0" fontId="0" fillId="3" borderId="9" xfId="0" applyFill="1" applyBorder="1" applyAlignment="1">
      <alignment horizontal="left" vertical="top" wrapText="1"/>
    </xf>
    <xf numFmtId="0" fontId="6" fillId="3" borderId="2" xfId="0" applyFont="1" applyFill="1" applyBorder="1" applyAlignment="1">
      <alignment horizontal="left" vertical="top" wrapText="1"/>
    </xf>
    <xf numFmtId="164" fontId="0" fillId="0" borderId="52" xfId="0" applyNumberFormat="1" applyBorder="1" applyAlignment="1">
      <alignment horizontal="center"/>
    </xf>
    <xf numFmtId="164" fontId="0" fillId="0" borderId="19" xfId="0" applyNumberFormat="1" applyBorder="1" applyAlignment="1">
      <alignment horizontal="center"/>
    </xf>
    <xf numFmtId="164" fontId="0" fillId="0" borderId="53" xfId="0" applyNumberFormat="1" applyBorder="1" applyAlignment="1">
      <alignment horizontal="center"/>
    </xf>
    <xf numFmtId="0" fontId="22" fillId="0" borderId="0" xfId="0" applyFont="1" applyAlignment="1">
      <alignment horizontal="center"/>
    </xf>
    <xf numFmtId="0" fontId="31" fillId="0" borderId="8" xfId="0" applyFont="1" applyBorder="1"/>
    <xf numFmtId="0" fontId="31" fillId="0" borderId="9" xfId="0" applyFont="1" applyBorder="1"/>
    <xf numFmtId="0" fontId="31" fillId="0" borderId="10" xfId="0" applyFont="1" applyBorder="1"/>
    <xf numFmtId="0" fontId="31" fillId="0" borderId="0" xfId="0" applyFont="1"/>
    <xf numFmtId="0" fontId="12" fillId="0" borderId="27" xfId="0" applyFont="1" applyBorder="1" applyAlignment="1">
      <alignment horizontal="left" vertical="top" wrapText="1"/>
    </xf>
    <xf numFmtId="0" fontId="6" fillId="0" borderId="25" xfId="0" applyFont="1" applyBorder="1" applyAlignment="1">
      <alignment vertical="top" wrapText="1"/>
    </xf>
    <xf numFmtId="0" fontId="0" fillId="0" borderId="34" xfId="0" applyBorder="1" applyAlignment="1">
      <alignment vertical="center" wrapText="1"/>
    </xf>
    <xf numFmtId="0" fontId="0" fillId="0" borderId="42" xfId="0" applyBorder="1" applyAlignment="1">
      <alignment horizontal="left" vertical="top" wrapText="1"/>
    </xf>
    <xf numFmtId="0" fontId="0" fillId="0" borderId="3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74" xfId="0" applyBorder="1" applyAlignment="1">
      <alignment horizontal="left" vertical="top" wrapText="1"/>
    </xf>
    <xf numFmtId="0" fontId="0" fillId="0" borderId="76" xfId="0" applyBorder="1" applyAlignment="1">
      <alignment horizontal="left" vertical="top" wrapText="1"/>
    </xf>
    <xf numFmtId="0" fontId="0" fillId="0" borderId="73" xfId="0" applyBorder="1" applyAlignment="1">
      <alignment horizontal="left" vertical="top" wrapText="1"/>
    </xf>
    <xf numFmtId="0" fontId="0" fillId="0" borderId="51" xfId="0" applyBorder="1" applyAlignment="1">
      <alignment horizontal="left" vertical="top" wrapText="1"/>
    </xf>
    <xf numFmtId="0" fontId="0" fillId="0" borderId="50"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3" fillId="4" borderId="19"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10" xfId="0" applyFont="1" applyFill="1" applyBorder="1" applyAlignment="1">
      <alignment horizontal="left" vertical="top" wrapText="1"/>
    </xf>
    <xf numFmtId="0" fontId="7" fillId="3" borderId="1" xfId="1" applyFill="1" applyBorder="1" applyAlignment="1">
      <alignment horizontal="left" vertical="top" wrapText="1"/>
    </xf>
    <xf numFmtId="0" fontId="0" fillId="3" borderId="1" xfId="0" applyFill="1" applyBorder="1" applyAlignment="1">
      <alignment vertical="top" wrapText="1"/>
    </xf>
    <xf numFmtId="164" fontId="3" fillId="0" borderId="15" xfId="0" applyNumberFormat="1" applyFont="1" applyBorder="1" applyAlignment="1">
      <alignment horizontal="left" vertical="top" wrapText="1"/>
    </xf>
    <xf numFmtId="164" fontId="3" fillId="0" borderId="8" xfId="0" applyNumberFormat="1" applyFont="1" applyBorder="1" applyAlignment="1">
      <alignment horizontal="left" vertical="top" wrapText="1"/>
    </xf>
    <xf numFmtId="164" fontId="3" fillId="0" borderId="16" xfId="0" applyNumberFormat="1" applyFont="1" applyBorder="1" applyAlignment="1">
      <alignment horizontal="left" vertical="top" wrapText="1"/>
    </xf>
    <xf numFmtId="164" fontId="3" fillId="0" borderId="52" xfId="0" applyNumberFormat="1" applyFont="1" applyBorder="1" applyAlignment="1">
      <alignment horizontal="left" vertical="top" wrapText="1"/>
    </xf>
    <xf numFmtId="164" fontId="3" fillId="0" borderId="53" xfId="0" applyNumberFormat="1" applyFont="1" applyBorder="1" applyAlignment="1">
      <alignment horizontal="left" vertical="top" wrapText="1"/>
    </xf>
    <xf numFmtId="164" fontId="3" fillId="0" borderId="42" xfId="0" applyNumberFormat="1" applyFont="1" applyBorder="1" applyAlignment="1">
      <alignment horizontal="left" vertical="top" wrapText="1"/>
    </xf>
    <xf numFmtId="164" fontId="3" fillId="0" borderId="10" xfId="0" applyNumberFormat="1" applyFont="1" applyBorder="1" applyAlignment="1">
      <alignment horizontal="left" vertical="top" wrapText="1"/>
    </xf>
    <xf numFmtId="164" fontId="3" fillId="0" borderId="32" xfId="0" applyNumberFormat="1" applyFont="1" applyBorder="1" applyAlignment="1">
      <alignment horizontal="left" vertical="top" wrapText="1"/>
    </xf>
    <xf numFmtId="164" fontId="4" fillId="0" borderId="15" xfId="0" applyNumberFormat="1" applyFont="1" applyBorder="1" applyAlignment="1">
      <alignment horizontal="left" vertical="top" wrapText="1"/>
    </xf>
    <xf numFmtId="164" fontId="4" fillId="0" borderId="8" xfId="0" applyNumberFormat="1" applyFont="1" applyBorder="1" applyAlignment="1">
      <alignment horizontal="left" vertical="top" wrapText="1"/>
    </xf>
    <xf numFmtId="164" fontId="4" fillId="0" borderId="16" xfId="0" applyNumberFormat="1" applyFont="1" applyBorder="1" applyAlignment="1">
      <alignment horizontal="left" vertical="top" wrapText="1"/>
    </xf>
    <xf numFmtId="164" fontId="3" fillId="0" borderId="54" xfId="0" applyNumberFormat="1" applyFont="1" applyBorder="1" applyAlignment="1">
      <alignment horizontal="left" vertical="top" wrapText="1"/>
    </xf>
    <xf numFmtId="164" fontId="3" fillId="0" borderId="20" xfId="0" applyNumberFormat="1" applyFont="1" applyBorder="1" applyAlignment="1">
      <alignment horizontal="left" vertical="top" wrapText="1"/>
    </xf>
    <xf numFmtId="164" fontId="3" fillId="0" borderId="55" xfId="0" applyNumberFormat="1" applyFont="1" applyBorder="1" applyAlignment="1">
      <alignment horizontal="left" vertical="top" wrapText="1"/>
    </xf>
    <xf numFmtId="164" fontId="3" fillId="0" borderId="17" xfId="0" applyNumberFormat="1" applyFont="1" applyBorder="1" applyAlignment="1">
      <alignment horizontal="left" vertical="top" wrapText="1"/>
    </xf>
    <xf numFmtId="164" fontId="3" fillId="0" borderId="9" xfId="0" applyNumberFormat="1" applyFont="1" applyBorder="1" applyAlignment="1">
      <alignment horizontal="left" vertical="top" wrapText="1"/>
    </xf>
    <xf numFmtId="164" fontId="3" fillId="0" borderId="18" xfId="0" applyNumberFormat="1" applyFont="1" applyBorder="1" applyAlignment="1">
      <alignment horizontal="left" vertical="top" wrapText="1"/>
    </xf>
    <xf numFmtId="164" fontId="0" fillId="0" borderId="76" xfId="0" applyNumberFormat="1" applyBorder="1" applyAlignment="1">
      <alignment horizontal="left" vertical="top" wrapText="1"/>
    </xf>
    <xf numFmtId="164" fontId="0" fillId="0" borderId="2" xfId="0" applyNumberFormat="1" applyBorder="1" applyAlignment="1">
      <alignment horizontal="left" vertical="top" wrapText="1"/>
    </xf>
    <xf numFmtId="164" fontId="0" fillId="0" borderId="73" xfId="0" applyNumberFormat="1" applyBorder="1" applyAlignment="1">
      <alignment horizontal="left" vertical="top" wrapText="1"/>
    </xf>
    <xf numFmtId="164" fontId="0" fillId="0" borderId="51" xfId="0" applyNumberFormat="1" applyBorder="1" applyAlignment="1">
      <alignment horizontal="left" vertical="top" wrapText="1"/>
    </xf>
    <xf numFmtId="164" fontId="0" fillId="0" borderId="3" xfId="0" applyNumberFormat="1" applyBorder="1" applyAlignment="1">
      <alignment horizontal="left" vertical="top" wrapText="1"/>
    </xf>
    <xf numFmtId="164" fontId="0" fillId="0" borderId="50" xfId="0" applyNumberFormat="1" applyBorder="1" applyAlignment="1">
      <alignment horizontal="left" vertical="top" wrapText="1"/>
    </xf>
    <xf numFmtId="164" fontId="0" fillId="0" borderId="13"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51" xfId="0" applyNumberFormat="1" applyBorder="1" applyAlignment="1">
      <alignment horizontal="center" vertical="center"/>
    </xf>
    <xf numFmtId="164" fontId="0" fillId="0" borderId="3" xfId="0" applyNumberFormat="1" applyBorder="1" applyAlignment="1">
      <alignment horizontal="center" vertical="center"/>
    </xf>
    <xf numFmtId="164" fontId="0" fillId="0" borderId="50"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8"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9" xfId="0" applyNumberFormat="1" applyBorder="1" applyAlignment="1">
      <alignment horizontal="center" vertical="center"/>
    </xf>
    <xf numFmtId="164" fontId="0" fillId="0" borderId="18" xfId="0" applyNumberFormat="1" applyBorder="1" applyAlignment="1">
      <alignment horizontal="center" vertical="center"/>
    </xf>
    <xf numFmtId="164" fontId="16" fillId="0" borderId="52" xfId="0" applyNumberFormat="1" applyFont="1" applyBorder="1" applyAlignment="1">
      <alignment horizontal="center" vertical="center"/>
    </xf>
    <xf numFmtId="164" fontId="16" fillId="0" borderId="19" xfId="0" applyNumberFormat="1" applyFont="1" applyBorder="1" applyAlignment="1">
      <alignment horizontal="center" vertical="center"/>
    </xf>
    <xf numFmtId="164" fontId="16" fillId="0" borderId="53" xfId="0" applyNumberFormat="1" applyFont="1" applyBorder="1" applyAlignment="1">
      <alignment horizontal="center" vertical="center"/>
    </xf>
    <xf numFmtId="164" fontId="0" fillId="0" borderId="25" xfId="0" applyNumberFormat="1" applyBorder="1" applyAlignment="1">
      <alignment horizontal="center" vertical="center"/>
    </xf>
    <xf numFmtId="164" fontId="0" fillId="0" borderId="3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32" xfId="0" applyNumberFormat="1" applyBorder="1" applyAlignment="1">
      <alignment horizontal="center" vertical="center"/>
    </xf>
    <xf numFmtId="164" fontId="0" fillId="0" borderId="42" xfId="0" applyNumberFormat="1" applyBorder="1" applyAlignment="1">
      <alignment horizontal="center" vertical="center"/>
    </xf>
    <xf numFmtId="164" fontId="16" fillId="0" borderId="13" xfId="0" applyNumberFormat="1" applyFont="1" applyBorder="1" applyAlignment="1">
      <alignment horizontal="center" vertical="center"/>
    </xf>
    <xf numFmtId="164" fontId="16" fillId="0" borderId="1" xfId="0" applyNumberFormat="1" applyFont="1" applyBorder="1" applyAlignment="1">
      <alignment horizontal="center" vertical="center"/>
    </xf>
    <xf numFmtId="164" fontId="16" fillId="0" borderId="14" xfId="0" applyNumberFormat="1" applyFont="1" applyBorder="1" applyAlignment="1">
      <alignment horizontal="center" vertical="center"/>
    </xf>
    <xf numFmtId="164" fontId="3" fillId="0" borderId="16" xfId="0" applyNumberFormat="1" applyFont="1" applyBorder="1" applyAlignment="1">
      <alignment horizontal="left" vertical="center" wrapText="1"/>
    </xf>
    <xf numFmtId="164" fontId="3" fillId="0" borderId="53" xfId="0" applyNumberFormat="1" applyFont="1" applyBorder="1" applyAlignment="1">
      <alignment horizontal="left" vertical="center" wrapText="1"/>
    </xf>
    <xf numFmtId="164" fontId="3" fillId="0" borderId="42" xfId="0" applyNumberFormat="1" applyFont="1" applyBorder="1" applyAlignment="1">
      <alignment horizontal="left" vertical="center" wrapText="1"/>
    </xf>
    <xf numFmtId="164" fontId="3" fillId="0" borderId="10" xfId="0" applyNumberFormat="1" applyFont="1" applyBorder="1" applyAlignment="1">
      <alignment horizontal="left" vertical="center" wrapText="1"/>
    </xf>
    <xf numFmtId="164" fontId="3" fillId="0" borderId="32" xfId="0" applyNumberFormat="1" applyFont="1" applyBorder="1" applyAlignment="1">
      <alignment horizontal="left" vertical="center" wrapText="1"/>
    </xf>
    <xf numFmtId="164" fontId="3" fillId="0" borderId="15" xfId="0" applyNumberFormat="1" applyFont="1" applyBorder="1" applyAlignment="1">
      <alignment horizontal="center" vertical="top" wrapText="1"/>
    </xf>
    <xf numFmtId="164" fontId="3" fillId="0" borderId="26" xfId="0" applyNumberFormat="1" applyFont="1" applyBorder="1" applyAlignment="1">
      <alignment horizontal="center" vertical="top" wrapText="1"/>
    </xf>
    <xf numFmtId="164" fontId="3" fillId="0" borderId="40" xfId="0" applyNumberFormat="1" applyFont="1" applyBorder="1" applyAlignment="1">
      <alignment horizontal="center" vertical="top" wrapText="1"/>
    </xf>
    <xf numFmtId="164" fontId="3" fillId="0" borderId="17" xfId="0" applyNumberFormat="1" applyFont="1" applyBorder="1" applyAlignment="1">
      <alignment horizontal="center" vertical="top" wrapText="1"/>
    </xf>
    <xf numFmtId="164" fontId="3" fillId="0" borderId="25" xfId="0" applyNumberFormat="1" applyFont="1" applyBorder="1" applyAlignment="1">
      <alignment horizontal="center" vertical="top" wrapText="1"/>
    </xf>
    <xf numFmtId="164" fontId="3" fillId="0" borderId="41" xfId="0" applyNumberFormat="1" applyFont="1" applyBorder="1" applyAlignment="1">
      <alignment horizontal="center" vertical="top" wrapText="1"/>
    </xf>
    <xf numFmtId="164" fontId="3" fillId="0" borderId="42" xfId="0" applyNumberFormat="1" applyFont="1" applyBorder="1" applyAlignment="1">
      <alignment horizontal="center" vertical="top" wrapText="1"/>
    </xf>
    <xf numFmtId="164" fontId="3" fillId="0" borderId="10" xfId="0" applyNumberFormat="1" applyFont="1" applyBorder="1" applyAlignment="1">
      <alignment horizontal="center" vertical="top" wrapText="1"/>
    </xf>
    <xf numFmtId="164" fontId="3" fillId="0" borderId="32" xfId="0" applyNumberFormat="1" applyFont="1" applyBorder="1" applyAlignment="1">
      <alignment horizontal="center" vertical="top" wrapText="1"/>
    </xf>
    <xf numFmtId="164" fontId="3" fillId="0" borderId="43" xfId="0" applyNumberFormat="1" applyFont="1" applyBorder="1" applyAlignment="1">
      <alignment horizontal="center" vertical="top" wrapText="1"/>
    </xf>
    <xf numFmtId="164" fontId="3" fillId="0" borderId="11" xfId="0" applyNumberFormat="1" applyFont="1" applyBorder="1" applyAlignment="1">
      <alignment horizontal="center" vertical="top" wrapText="1"/>
    </xf>
    <xf numFmtId="164" fontId="3" fillId="0" borderId="16" xfId="0" applyNumberFormat="1" applyFont="1" applyBorder="1" applyAlignment="1">
      <alignment horizontal="center" vertical="top" wrapText="1"/>
    </xf>
    <xf numFmtId="164" fontId="3" fillId="0" borderId="44" xfId="0" applyNumberFormat="1" applyFont="1" applyBorder="1" applyAlignment="1">
      <alignment horizontal="center" vertical="top" wrapText="1"/>
    </xf>
    <xf numFmtId="164" fontId="3" fillId="0" borderId="12" xfId="0" applyNumberFormat="1" applyFont="1" applyBorder="1" applyAlignment="1">
      <alignment horizontal="center" vertical="top" wrapText="1"/>
    </xf>
    <xf numFmtId="164" fontId="3" fillId="0" borderId="18" xfId="0" applyNumberFormat="1" applyFont="1" applyBorder="1" applyAlignment="1">
      <alignment horizontal="center" vertical="top" wrapText="1"/>
    </xf>
    <xf numFmtId="164" fontId="3" fillId="0" borderId="9" xfId="0" applyNumberFormat="1" applyFont="1" applyBorder="1" applyAlignment="1">
      <alignment horizontal="center" vertical="top" wrapText="1"/>
    </xf>
    <xf numFmtId="164" fontId="3" fillId="0" borderId="8" xfId="0" applyNumberFormat="1" applyFont="1" applyBorder="1" applyAlignment="1">
      <alignment horizontal="center" vertical="top" wrapText="1"/>
    </xf>
    <xf numFmtId="164" fontId="3" fillId="0" borderId="3" xfId="0" applyNumberFormat="1" applyFont="1" applyBorder="1" applyAlignment="1">
      <alignment horizontal="center" vertical="top" wrapText="1"/>
    </xf>
    <xf numFmtId="164" fontId="0" fillId="0" borderId="42"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32" xfId="0" applyNumberFormat="1" applyBorder="1" applyAlignment="1">
      <alignment horizontal="center" vertical="center" wrapText="1"/>
    </xf>
    <xf numFmtId="164" fontId="3" fillId="0" borderId="13"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3" fillId="0" borderId="14" xfId="0" applyNumberFormat="1" applyFont="1" applyBorder="1" applyAlignment="1">
      <alignment horizontal="center" vertical="top" wrapText="1"/>
    </xf>
    <xf numFmtId="164" fontId="0" fillId="0" borderId="17" xfId="0" applyNumberFormat="1" applyBorder="1" applyAlignment="1">
      <alignment horizontal="center" vertical="center" wrapText="1"/>
    </xf>
    <xf numFmtId="164" fontId="0" fillId="0" borderId="9" xfId="0" applyNumberFormat="1" applyBorder="1" applyAlignment="1">
      <alignment horizontal="center" vertical="center" wrapText="1"/>
    </xf>
    <xf numFmtId="164" fontId="0" fillId="0" borderId="18" xfId="0" applyNumberFormat="1" applyBorder="1" applyAlignment="1">
      <alignment horizontal="center" vertical="center" wrapText="1"/>
    </xf>
    <xf numFmtId="164" fontId="13" fillId="0" borderId="0" xfId="0" applyNumberFormat="1" applyFont="1" applyAlignment="1">
      <alignment horizontal="center" vertical="top"/>
    </xf>
    <xf numFmtId="164" fontId="13" fillId="0" borderId="56" xfId="0" applyNumberFormat="1" applyFont="1" applyBorder="1" applyAlignment="1">
      <alignment horizontal="center" vertical="top"/>
    </xf>
    <xf numFmtId="164" fontId="3" fillId="0" borderId="54" xfId="0" applyNumberFormat="1" applyFont="1" applyBorder="1" applyAlignment="1">
      <alignment horizontal="center" vertical="top" wrapText="1"/>
    </xf>
    <xf numFmtId="164" fontId="3" fillId="0" borderId="20" xfId="0" applyNumberFormat="1" applyFont="1" applyBorder="1" applyAlignment="1">
      <alignment horizontal="center" vertical="top" wrapText="1"/>
    </xf>
    <xf numFmtId="164" fontId="3" fillId="0" borderId="55" xfId="0" applyNumberFormat="1" applyFont="1" applyBorder="1" applyAlignment="1">
      <alignment horizontal="center" vertical="top" wrapText="1"/>
    </xf>
    <xf numFmtId="164" fontId="3" fillId="0" borderId="52" xfId="0" applyNumberFormat="1" applyFont="1" applyBorder="1" applyAlignment="1">
      <alignment horizontal="center" vertical="top" wrapText="1"/>
    </xf>
    <xf numFmtId="164" fontId="3" fillId="0" borderId="19" xfId="0" applyNumberFormat="1" applyFont="1" applyBorder="1" applyAlignment="1">
      <alignment horizontal="center" vertical="top" wrapText="1"/>
    </xf>
    <xf numFmtId="164" fontId="3" fillId="0" borderId="53" xfId="0" applyNumberFormat="1" applyFont="1" applyBorder="1" applyAlignment="1">
      <alignment horizontal="center" vertical="top" wrapText="1"/>
    </xf>
    <xf numFmtId="164" fontId="3" fillId="0" borderId="76" xfId="0" applyNumberFormat="1" applyFont="1" applyBorder="1" applyAlignment="1">
      <alignment horizontal="center" vertical="top" wrapText="1"/>
    </xf>
    <xf numFmtId="164" fontId="3" fillId="0" borderId="2" xfId="0" applyNumberFormat="1" applyFont="1" applyBorder="1" applyAlignment="1">
      <alignment horizontal="center" vertical="top" wrapText="1"/>
    </xf>
    <xf numFmtId="164" fontId="3" fillId="0" borderId="73" xfId="0" applyNumberFormat="1" applyFont="1" applyBorder="1" applyAlignment="1">
      <alignment horizontal="center" vertical="top" wrapText="1"/>
    </xf>
    <xf numFmtId="164" fontId="13" fillId="0" borderId="75" xfId="0" applyNumberFormat="1" applyFont="1" applyBorder="1" applyAlignment="1">
      <alignment horizontal="center" vertical="top"/>
    </xf>
    <xf numFmtId="164" fontId="13" fillId="0" borderId="4" xfId="0" applyNumberFormat="1" applyFont="1" applyBorder="1" applyAlignment="1">
      <alignment horizontal="center" vertical="top"/>
    </xf>
    <xf numFmtId="164" fontId="13" fillId="0" borderId="74" xfId="0" applyNumberFormat="1" applyFont="1" applyBorder="1" applyAlignment="1">
      <alignment horizontal="center" vertical="top"/>
    </xf>
    <xf numFmtId="164" fontId="6" fillId="0" borderId="17" xfId="0" applyNumberFormat="1" applyFont="1" applyBorder="1" applyAlignment="1">
      <alignment horizontal="center" vertical="top" wrapText="1"/>
    </xf>
    <xf numFmtId="164" fontId="6" fillId="0" borderId="9" xfId="0" applyNumberFormat="1" applyFont="1" applyBorder="1" applyAlignment="1">
      <alignment horizontal="center" vertical="top" wrapText="1"/>
    </xf>
    <xf numFmtId="164" fontId="6" fillId="0" borderId="18" xfId="0" applyNumberFormat="1" applyFont="1" applyBorder="1" applyAlignment="1">
      <alignment horizontal="center" vertical="top" wrapText="1"/>
    </xf>
    <xf numFmtId="164" fontId="4" fillId="0" borderId="17" xfId="0" applyNumberFormat="1" applyFont="1" applyBorder="1" applyAlignment="1">
      <alignment horizontal="center" vertical="top" wrapText="1"/>
    </xf>
    <xf numFmtId="164" fontId="4" fillId="0" borderId="9" xfId="0" applyNumberFormat="1" applyFont="1" applyBorder="1" applyAlignment="1">
      <alignment horizontal="center" vertical="top" wrapText="1"/>
    </xf>
    <xf numFmtId="164" fontId="4" fillId="0" borderId="18" xfId="0" applyNumberFormat="1" applyFont="1" applyBorder="1" applyAlignment="1">
      <alignment horizontal="center" vertical="top" wrapText="1"/>
    </xf>
    <xf numFmtId="0" fontId="4" fillId="0" borderId="0" xfId="0" applyFont="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2" xfId="0" applyBorder="1" applyAlignment="1">
      <alignment vertical="top" wrapText="1"/>
    </xf>
    <xf numFmtId="0" fontId="6" fillId="0" borderId="26" xfId="0" applyFont="1" applyBorder="1" applyAlignment="1">
      <alignment vertical="top" wrapText="1"/>
    </xf>
    <xf numFmtId="0" fontId="2" fillId="0" borderId="22" xfId="0" applyFont="1" applyBorder="1" applyAlignment="1">
      <alignment vertical="top" wrapText="1"/>
    </xf>
    <xf numFmtId="0" fontId="2" fillId="0" borderId="0" xfId="0" applyFont="1" applyAlignment="1">
      <alignment vertical="top" wrapText="1"/>
    </xf>
    <xf numFmtId="164" fontId="4" fillId="0" borderId="15" xfId="0" applyNumberFormat="1" applyFont="1" applyBorder="1" applyAlignment="1">
      <alignment horizontal="center" vertical="top" wrapText="1"/>
    </xf>
    <xf numFmtId="164" fontId="4" fillId="0" borderId="8" xfId="0" applyNumberFormat="1" applyFont="1" applyBorder="1" applyAlignment="1">
      <alignment horizontal="center" vertical="top" wrapText="1"/>
    </xf>
    <xf numFmtId="164" fontId="4" fillId="0" borderId="16" xfId="0" applyNumberFormat="1" applyFont="1" applyBorder="1" applyAlignment="1">
      <alignment horizontal="center" vertical="top" wrapText="1"/>
    </xf>
    <xf numFmtId="164" fontId="0" fillId="0" borderId="15" xfId="0" applyNumberFormat="1" applyBorder="1" applyAlignment="1">
      <alignment horizontal="center" vertical="top" wrapText="1"/>
    </xf>
    <xf numFmtId="164" fontId="0" fillId="0" borderId="8" xfId="0" applyNumberFormat="1" applyBorder="1" applyAlignment="1">
      <alignment horizontal="center" vertical="top" wrapText="1"/>
    </xf>
    <xf numFmtId="164" fontId="0" fillId="0" borderId="16" xfId="0" applyNumberFormat="1" applyBorder="1" applyAlignment="1">
      <alignment horizontal="center" vertical="top" wrapText="1"/>
    </xf>
    <xf numFmtId="164" fontId="0" fillId="0" borderId="42" xfId="0" applyNumberFormat="1" applyBorder="1" applyAlignment="1">
      <alignment horizontal="center" vertical="top" wrapText="1"/>
    </xf>
    <xf numFmtId="164" fontId="0" fillId="0" borderId="10" xfId="0" applyNumberFormat="1" applyBorder="1" applyAlignment="1">
      <alignment horizontal="center" vertical="top" wrapText="1"/>
    </xf>
    <xf numFmtId="164" fontId="0" fillId="0" borderId="32" xfId="0" applyNumberFormat="1" applyBorder="1" applyAlignment="1">
      <alignment horizontal="center" vertical="top" wrapText="1"/>
    </xf>
    <xf numFmtId="164" fontId="0" fillId="0" borderId="17" xfId="0" applyNumberFormat="1" applyBorder="1" applyAlignment="1">
      <alignment horizontal="center" vertical="top" wrapText="1"/>
    </xf>
    <xf numFmtId="164" fontId="0" fillId="0" borderId="9" xfId="0" applyNumberFormat="1" applyBorder="1" applyAlignment="1">
      <alignment horizontal="center" vertical="top" wrapText="1"/>
    </xf>
    <xf numFmtId="164" fontId="0" fillId="0" borderId="18" xfId="0" applyNumberFormat="1" applyBorder="1" applyAlignment="1">
      <alignment horizontal="center" vertical="top" wrapText="1"/>
    </xf>
    <xf numFmtId="164" fontId="0" fillId="0" borderId="52" xfId="0" applyNumberFormat="1" applyBorder="1" applyAlignment="1">
      <alignment horizontal="center" vertical="top" wrapText="1"/>
    </xf>
    <xf numFmtId="164" fontId="0" fillId="0" borderId="19" xfId="0" applyNumberFormat="1" applyBorder="1" applyAlignment="1">
      <alignment horizontal="center" vertical="top" wrapText="1"/>
    </xf>
    <xf numFmtId="164" fontId="0" fillId="0" borderId="53" xfId="0" applyNumberFormat="1" applyBorder="1" applyAlignment="1">
      <alignment horizontal="center" vertical="top" wrapText="1"/>
    </xf>
    <xf numFmtId="0" fontId="0" fillId="0" borderId="25" xfId="0" applyBorder="1" applyAlignment="1">
      <alignmen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164" fontId="4" fillId="0" borderId="42" xfId="0" applyNumberFormat="1" applyFont="1" applyBorder="1" applyAlignment="1">
      <alignment horizontal="center" vertical="top" wrapText="1"/>
    </xf>
    <xf numFmtId="164" fontId="4" fillId="0" borderId="10" xfId="0" applyNumberFormat="1" applyFont="1" applyBorder="1" applyAlignment="1">
      <alignment horizontal="center" vertical="top" wrapText="1"/>
    </xf>
    <xf numFmtId="164" fontId="4" fillId="0" borderId="32" xfId="0" applyNumberFormat="1" applyFont="1" applyBorder="1" applyAlignment="1">
      <alignment horizontal="center" vertical="top" wrapText="1"/>
    </xf>
    <xf numFmtId="0" fontId="6" fillId="0" borderId="0" xfId="0" applyFont="1" applyAlignment="1">
      <alignment horizontal="left" vertical="top"/>
    </xf>
    <xf numFmtId="0" fontId="9" fillId="0" borderId="22" xfId="0" applyFont="1" applyBorder="1" applyAlignment="1">
      <alignment horizontal="left" vertical="top" wrapText="1"/>
    </xf>
    <xf numFmtId="164" fontId="0" fillId="0" borderId="51" xfId="0" applyNumberFormat="1" applyBorder="1" applyAlignment="1">
      <alignment horizontal="center" vertical="top" wrapText="1"/>
    </xf>
    <xf numFmtId="164" fontId="0" fillId="0" borderId="3" xfId="0" applyNumberFormat="1" applyBorder="1" applyAlignment="1">
      <alignment horizontal="center" vertical="top" wrapText="1"/>
    </xf>
    <xf numFmtId="164" fontId="0" fillId="0" borderId="50" xfId="0" applyNumberFormat="1" applyBorder="1" applyAlignment="1">
      <alignment horizontal="center" vertical="top" wrapText="1"/>
    </xf>
    <xf numFmtId="0" fontId="19" fillId="0" borderId="26" xfId="0" applyFont="1" applyBorder="1" applyAlignment="1">
      <alignment horizontal="left" vertical="top" wrapText="1"/>
    </xf>
    <xf numFmtId="0" fontId="19" fillId="0" borderId="25" xfId="0" applyFont="1" applyBorder="1" applyAlignment="1">
      <alignment horizontal="left" vertical="top" wrapText="1"/>
    </xf>
    <xf numFmtId="0" fontId="2" fillId="0" borderId="22" xfId="0" applyFont="1" applyBorder="1" applyAlignment="1">
      <alignment horizontal="left" vertical="top" wrapText="1"/>
    </xf>
    <xf numFmtId="0" fontId="20" fillId="0" borderId="22" xfId="0" applyFont="1" applyBorder="1" applyAlignment="1">
      <alignment horizontal="left" vertical="top" wrapText="1"/>
    </xf>
    <xf numFmtId="0" fontId="19" fillId="0" borderId="22" xfId="0" applyFont="1" applyBorder="1" applyAlignment="1">
      <alignment horizontal="left" vertical="top" wrapText="1"/>
    </xf>
    <xf numFmtId="0" fontId="2"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vertical="top" wrapText="1"/>
    </xf>
    <xf numFmtId="164" fontId="0" fillId="0" borderId="76" xfId="0" applyNumberFormat="1" applyBorder="1" applyAlignment="1">
      <alignment horizontal="center" vertical="top" wrapText="1"/>
    </xf>
    <xf numFmtId="164" fontId="0" fillId="0" borderId="2" xfId="0" applyNumberFormat="1" applyBorder="1" applyAlignment="1">
      <alignment horizontal="center" vertical="top" wrapText="1"/>
    </xf>
    <xf numFmtId="164" fontId="0" fillId="0" borderId="73" xfId="0" applyNumberFormat="1" applyBorder="1" applyAlignment="1">
      <alignment horizontal="center" vertical="top" wrapText="1"/>
    </xf>
    <xf numFmtId="0" fontId="0" fillId="4" borderId="8" xfId="0" applyFill="1" applyBorder="1" applyAlignment="1">
      <alignment horizontal="center" vertical="top" wrapText="1"/>
    </xf>
    <xf numFmtId="0" fontId="6" fillId="0" borderId="19" xfId="0" applyFont="1" applyBorder="1" applyAlignment="1">
      <alignment horizontal="left" vertical="top" wrapText="1"/>
    </xf>
    <xf numFmtId="0" fontId="34" fillId="0" borderId="1" xfId="0" applyFont="1" applyBorder="1" applyAlignment="1">
      <alignment horizontal="center"/>
    </xf>
    <xf numFmtId="164" fontId="35" fillId="0" borderId="1" xfId="0" applyNumberFormat="1" applyFont="1" applyBorder="1" applyAlignment="1">
      <alignment horizontal="center" vertical="center"/>
    </xf>
    <xf numFmtId="0" fontId="3" fillId="0" borderId="32" xfId="0" applyFont="1" applyBorder="1" applyAlignment="1">
      <alignment horizontal="center"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6" fillId="0" borderId="1"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top" wrapText="1"/>
    </xf>
    <xf numFmtId="0" fontId="6" fillId="0" borderId="10" xfId="0" applyFont="1" applyBorder="1" applyAlignment="1">
      <alignment horizontal="center" vertical="top" wrapText="1"/>
    </xf>
    <xf numFmtId="0" fontId="6" fillId="0" borderId="6" xfId="0" applyFont="1" applyBorder="1" applyAlignment="1">
      <alignment horizontal="center" vertical="top" wrapText="1"/>
    </xf>
    <xf numFmtId="164" fontId="3" fillId="0" borderId="45" xfId="0" applyNumberFormat="1" applyFont="1" applyBorder="1" applyAlignment="1">
      <alignment horizontal="center" vertical="top" wrapText="1"/>
    </xf>
    <xf numFmtId="164" fontId="3" fillId="0" borderId="46" xfId="0" applyNumberFormat="1" applyFont="1" applyBorder="1" applyAlignment="1">
      <alignment horizontal="center" vertical="top" wrapText="1"/>
    </xf>
    <xf numFmtId="164" fontId="3" fillId="0" borderId="47" xfId="0" applyNumberFormat="1" applyFont="1" applyBorder="1" applyAlignment="1">
      <alignment horizontal="center" vertical="top" wrapText="1"/>
    </xf>
    <xf numFmtId="0" fontId="12" fillId="0" borderId="9" xfId="0" applyFont="1" applyBorder="1" applyAlignment="1">
      <alignment horizontal="center" vertical="top" wrapText="1"/>
    </xf>
    <xf numFmtId="0" fontId="6" fillId="0" borderId="20" xfId="0" applyFont="1" applyBorder="1" applyAlignment="1">
      <alignment horizontal="center" vertical="top" wrapText="1"/>
    </xf>
    <xf numFmtId="0" fontId="6" fillId="0" borderId="19" xfId="0" applyFont="1" applyBorder="1" applyAlignment="1">
      <alignment horizontal="center" vertical="top" wrapText="1"/>
    </xf>
    <xf numFmtId="164" fontId="0" fillId="0" borderId="75" xfId="0" applyNumberFormat="1" applyBorder="1" applyAlignment="1">
      <alignment horizontal="center" vertical="top" wrapText="1"/>
    </xf>
    <xf numFmtId="164" fontId="0" fillId="0" borderId="4" xfId="0" applyNumberFormat="1" applyBorder="1" applyAlignment="1">
      <alignment horizontal="center" vertical="top" wrapText="1"/>
    </xf>
    <xf numFmtId="164" fontId="0" fillId="0" borderId="74" xfId="0" applyNumberFormat="1" applyBorder="1" applyAlignment="1">
      <alignment horizontal="center" vertical="top" wrapText="1"/>
    </xf>
    <xf numFmtId="164" fontId="0" fillId="0" borderId="62" xfId="0" applyNumberFormat="1" applyBorder="1" applyAlignment="1">
      <alignment horizontal="center" vertical="top" wrapText="1"/>
    </xf>
    <xf numFmtId="164" fontId="0" fillId="0" borderId="63" xfId="0" applyNumberFormat="1" applyBorder="1" applyAlignment="1">
      <alignment horizontal="center" vertical="top" wrapText="1"/>
    </xf>
    <xf numFmtId="164" fontId="0" fillId="0" borderId="64" xfId="0" applyNumberFormat="1" applyBorder="1" applyAlignment="1">
      <alignment horizontal="center" vertical="top" wrapText="1"/>
    </xf>
    <xf numFmtId="164" fontId="31" fillId="0" borderId="8" xfId="0" applyNumberFormat="1" applyFont="1" applyBorder="1" applyAlignment="1">
      <alignment horizontal="center" vertical="top"/>
    </xf>
    <xf numFmtId="164" fontId="31" fillId="0" borderId="9" xfId="0" applyNumberFormat="1" applyFont="1" applyBorder="1" applyAlignment="1">
      <alignment horizontal="center" vertical="top"/>
    </xf>
    <xf numFmtId="164" fontId="31" fillId="0" borderId="10" xfId="0" applyNumberFormat="1" applyFont="1" applyBorder="1" applyAlignment="1">
      <alignment horizontal="center" vertical="top"/>
    </xf>
    <xf numFmtId="0" fontId="0" fillId="4" borderId="8" xfId="0" applyFill="1" applyBorder="1" applyAlignment="1">
      <alignment horizontal="left" vertical="top" wrapText="1"/>
    </xf>
    <xf numFmtId="164" fontId="0" fillId="0" borderId="13" xfId="0" applyNumberFormat="1" applyBorder="1" applyAlignment="1">
      <alignment horizontal="center" vertical="top" wrapText="1"/>
    </xf>
    <xf numFmtId="164" fontId="0" fillId="0" borderId="1" xfId="0" applyNumberFormat="1" applyBorder="1" applyAlignment="1">
      <alignment horizontal="center" vertical="top" wrapText="1"/>
    </xf>
    <xf numFmtId="164" fontId="0" fillId="0" borderId="14" xfId="0" applyNumberFormat="1" applyBorder="1" applyAlignment="1">
      <alignment horizontal="center" vertical="top" wrapText="1"/>
    </xf>
    <xf numFmtId="0" fontId="0" fillId="5" borderId="1" xfId="0" applyFill="1" applyBorder="1" applyAlignment="1">
      <alignment horizontal="center"/>
    </xf>
    <xf numFmtId="0" fontId="12" fillId="0" borderId="19" xfId="0" applyFont="1" applyBorder="1" applyAlignment="1">
      <alignment horizontal="center"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7" borderId="8" xfId="0" applyFont="1" applyFill="1" applyBorder="1" applyAlignment="1">
      <alignment horizontal="center" vertical="top" wrapText="1"/>
    </xf>
    <xf numFmtId="164" fontId="0" fillId="0" borderId="54" xfId="0" applyNumberFormat="1" applyBorder="1" applyAlignment="1">
      <alignment horizontal="center" vertical="top" wrapText="1"/>
    </xf>
    <xf numFmtId="164" fontId="0" fillId="0" borderId="20" xfId="0" applyNumberFormat="1" applyBorder="1" applyAlignment="1">
      <alignment horizontal="center" vertical="top" wrapText="1"/>
    </xf>
    <xf numFmtId="164" fontId="0" fillId="0" borderId="55" xfId="0" applyNumberFormat="1" applyBorder="1" applyAlignment="1">
      <alignment horizontal="center" vertical="top" wrapText="1"/>
    </xf>
    <xf numFmtId="0" fontId="12" fillId="0" borderId="60" xfId="0" applyFont="1" applyBorder="1" applyAlignment="1">
      <alignment vertical="top" wrapText="1"/>
    </xf>
    <xf numFmtId="164" fontId="12" fillId="0" borderId="16" xfId="0" applyNumberFormat="1" applyFont="1" applyBorder="1" applyAlignment="1">
      <alignment horizontal="center" vertical="top" wrapText="1"/>
    </xf>
    <xf numFmtId="0" fontId="5" fillId="5" borderId="3" xfId="0" applyFont="1" applyFill="1" applyBorder="1" applyAlignment="1">
      <alignment horizontal="left" vertical="top" wrapText="1"/>
    </xf>
    <xf numFmtId="0" fontId="6" fillId="0" borderId="25" xfId="0" applyFont="1" applyBorder="1" applyAlignment="1">
      <alignment horizontal="center" vertical="top" wrapText="1"/>
    </xf>
    <xf numFmtId="0" fontId="3" fillId="0" borderId="39" xfId="0" applyFont="1" applyBorder="1" applyAlignment="1">
      <alignment horizontal="center" vertical="top" wrapText="1"/>
    </xf>
    <xf numFmtId="0" fontId="6" fillId="0" borderId="37" xfId="0" applyFont="1" applyBorder="1" applyAlignment="1">
      <alignment horizontal="left" vertical="top" wrapText="1"/>
    </xf>
    <xf numFmtId="0" fontId="6" fillId="0" borderId="9" xfId="0" applyFont="1" applyBorder="1" applyAlignment="1">
      <alignment horizontal="center" vertical="center" wrapText="1"/>
    </xf>
    <xf numFmtId="164" fontId="3" fillId="0" borderId="77" xfId="0" applyNumberFormat="1" applyFont="1" applyBorder="1" applyAlignment="1">
      <alignment horizontal="center" vertical="top" wrapText="1"/>
    </xf>
    <xf numFmtId="164" fontId="3" fillId="0" borderId="24" xfId="0" applyNumberFormat="1" applyFont="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18" xfId="0" applyNumberFormat="1" applyFont="1" applyBorder="1" applyAlignment="1">
      <alignment horizontal="center"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0" fillId="5" borderId="3" xfId="0" applyFill="1" applyBorder="1"/>
    <xf numFmtId="0" fontId="24" fillId="5" borderId="3" xfId="0" applyFont="1" applyFill="1" applyBorder="1" applyAlignment="1">
      <alignment horizontal="center" vertical="top" wrapText="1"/>
    </xf>
    <xf numFmtId="0" fontId="0" fillId="0" borderId="9" xfId="0" applyBorder="1"/>
    <xf numFmtId="0" fontId="0" fillId="0" borderId="65" xfId="0" applyBorder="1"/>
    <xf numFmtId="0" fontId="0" fillId="0" borderId="66" xfId="0" applyBorder="1"/>
    <xf numFmtId="0" fontId="0" fillId="0" borderId="67" xfId="0" applyBorder="1"/>
    <xf numFmtId="0" fontId="0" fillId="0" borderId="17" xfId="0" applyBorder="1"/>
    <xf numFmtId="0" fontId="0" fillId="0" borderId="18" xfId="0" applyBorder="1"/>
    <xf numFmtId="0" fontId="0" fillId="0" borderId="45" xfId="0" applyBorder="1"/>
    <xf numFmtId="0" fontId="0" fillId="0" borderId="46" xfId="0" applyBorder="1"/>
    <xf numFmtId="0" fontId="0" fillId="0" borderId="47" xfId="0" applyBorder="1"/>
    <xf numFmtId="0" fontId="12" fillId="0" borderId="15" xfId="0" applyFont="1" applyBorder="1" applyAlignment="1">
      <alignment vertical="top"/>
    </xf>
    <xf numFmtId="0" fontId="12" fillId="0" borderId="17" xfId="0" applyFont="1" applyBorder="1" applyAlignment="1">
      <alignment vertical="top"/>
    </xf>
    <xf numFmtId="0" fontId="12" fillId="0" borderId="42" xfId="0" applyFont="1" applyBorder="1" applyAlignment="1">
      <alignment vertical="top"/>
    </xf>
    <xf numFmtId="0" fontId="38" fillId="5" borderId="2" xfId="0" applyFont="1" applyFill="1" applyBorder="1" applyAlignment="1">
      <alignment vertical="top" wrapText="1"/>
    </xf>
    <xf numFmtId="0" fontId="0" fillId="0" borderId="42" xfId="0" applyBorder="1"/>
    <xf numFmtId="0" fontId="0" fillId="0" borderId="32" xfId="0" applyBorder="1"/>
    <xf numFmtId="0" fontId="15" fillId="5" borderId="3" xfId="0" applyFont="1" applyFill="1" applyBorder="1"/>
    <xf numFmtId="0" fontId="15" fillId="5" borderId="4" xfId="0" applyFont="1" applyFill="1" applyBorder="1"/>
    <xf numFmtId="0" fontId="12" fillId="5" borderId="3" xfId="0" applyFont="1" applyFill="1" applyBorder="1"/>
    <xf numFmtId="0" fontId="12" fillId="5" borderId="4" xfId="0" applyFont="1" applyFill="1" applyBorder="1"/>
    <xf numFmtId="0" fontId="0" fillId="0" borderId="15" xfId="0" applyBorder="1"/>
    <xf numFmtId="2" fontId="0" fillId="0" borderId="13" xfId="0" applyNumberFormat="1" applyBorder="1" applyAlignment="1">
      <alignment horizontal="center" vertical="top" wrapText="1"/>
    </xf>
    <xf numFmtId="2" fontId="0" fillId="0" borderId="1" xfId="0" applyNumberFormat="1" applyBorder="1" applyAlignment="1">
      <alignment horizontal="center" vertical="top" wrapText="1"/>
    </xf>
    <xf numFmtId="2" fontId="0" fillId="0" borderId="14" xfId="0" applyNumberFormat="1" applyBorder="1" applyAlignment="1">
      <alignment horizontal="center" vertical="top" wrapText="1"/>
    </xf>
    <xf numFmtId="2" fontId="0" fillId="0" borderId="57" xfId="0" applyNumberFormat="1" applyBorder="1" applyAlignment="1">
      <alignment horizontal="center" vertical="top" wrapText="1"/>
    </xf>
    <xf numFmtId="2" fontId="0" fillId="0" borderId="58" xfId="0" applyNumberFormat="1" applyBorder="1" applyAlignment="1">
      <alignment horizontal="center" vertical="top" wrapText="1"/>
    </xf>
    <xf numFmtId="2" fontId="0" fillId="0" borderId="59" xfId="0" applyNumberFormat="1" applyBorder="1" applyAlignment="1">
      <alignment horizontal="center" vertical="top" wrapText="1"/>
    </xf>
    <xf numFmtId="2" fontId="12" fillId="0" borderId="13" xfId="0" applyNumberFormat="1" applyFont="1" applyBorder="1" applyAlignment="1">
      <alignment horizontal="center" vertical="top" wrapText="1"/>
    </xf>
    <xf numFmtId="2" fontId="12" fillId="0" borderId="1" xfId="0" applyNumberFormat="1" applyFont="1" applyBorder="1" applyAlignment="1">
      <alignment horizontal="center" vertical="top" wrapText="1"/>
    </xf>
    <xf numFmtId="2" fontId="12" fillId="0" borderId="14" xfId="0" applyNumberFormat="1" applyFont="1" applyBorder="1" applyAlignment="1">
      <alignment horizontal="center" vertical="top" wrapText="1"/>
    </xf>
    <xf numFmtId="164" fontId="12" fillId="0" borderId="17" xfId="0" applyNumberFormat="1" applyFont="1" applyBorder="1" applyAlignment="1">
      <alignment vertical="top"/>
    </xf>
    <xf numFmtId="164" fontId="12" fillId="0" borderId="9" xfId="0" applyNumberFormat="1" applyFont="1" applyBorder="1" applyAlignment="1">
      <alignment vertical="top"/>
    </xf>
    <xf numFmtId="164" fontId="12" fillId="0" borderId="18" xfId="0" applyNumberFormat="1" applyFont="1" applyBorder="1" applyAlignment="1">
      <alignment vertical="top"/>
    </xf>
    <xf numFmtId="164" fontId="12" fillId="0" borderId="42" xfId="0" applyNumberFormat="1" applyFont="1" applyBorder="1" applyAlignment="1">
      <alignment vertical="top"/>
    </xf>
    <xf numFmtId="164" fontId="12" fillId="0" borderId="10" xfId="0" applyNumberFormat="1" applyFont="1" applyBorder="1" applyAlignment="1">
      <alignment vertical="top"/>
    </xf>
    <xf numFmtId="164" fontId="12" fillId="0" borderId="32" xfId="0" applyNumberFormat="1" applyFont="1" applyBorder="1" applyAlignment="1">
      <alignment vertical="top"/>
    </xf>
    <xf numFmtId="0" fontId="15" fillId="5" borderId="2" xfId="0" applyFont="1" applyFill="1" applyBorder="1" applyAlignment="1">
      <alignment vertical="top"/>
    </xf>
    <xf numFmtId="0" fontId="16" fillId="3" borderId="1" xfId="0" applyFont="1" applyFill="1" applyBorder="1" applyAlignment="1">
      <alignment horizontal="center" vertical="top" wrapText="1"/>
    </xf>
    <xf numFmtId="0" fontId="26" fillId="0" borderId="33" xfId="0" applyFont="1" applyBorder="1" applyAlignment="1">
      <alignment horizontal="left" vertical="top" wrapText="1"/>
    </xf>
    <xf numFmtId="0" fontId="0" fillId="0" borderId="34" xfId="0" applyBorder="1" applyAlignment="1">
      <alignment horizontal="left" vertical="top" wrapText="1"/>
    </xf>
    <xf numFmtId="0" fontId="27" fillId="3" borderId="6" xfId="0" applyFont="1" applyFill="1" applyBorder="1" applyAlignment="1">
      <alignment horizontal="center" vertical="top" wrapText="1"/>
    </xf>
    <xf numFmtId="0" fontId="12" fillId="0" borderId="27" xfId="0" applyFont="1" applyBorder="1" applyAlignment="1">
      <alignment vertical="top" wrapText="1"/>
    </xf>
    <xf numFmtId="0" fontId="12" fillId="0" borderId="35" xfId="0" applyFont="1" applyBorder="1" applyAlignment="1">
      <alignment vertical="top" wrapText="1"/>
    </xf>
    <xf numFmtId="0" fontId="12" fillId="0" borderId="34" xfId="0" applyFont="1" applyBorder="1" applyAlignment="1">
      <alignment vertical="top" wrapText="1"/>
    </xf>
    <xf numFmtId="0" fontId="12" fillId="0" borderId="2" xfId="0" applyFont="1" applyBorder="1" applyAlignment="1">
      <alignment vertical="top" wrapText="1"/>
    </xf>
    <xf numFmtId="0" fontId="27" fillId="3" borderId="1" xfId="0" applyFont="1" applyFill="1" applyBorder="1" applyAlignment="1">
      <alignment horizontal="center" vertical="top" wrapText="1"/>
    </xf>
    <xf numFmtId="0" fontId="4" fillId="6" borderId="75"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74" xfId="0" applyFont="1" applyFill="1" applyBorder="1" applyAlignment="1">
      <alignment horizontal="center" vertical="top" wrapText="1"/>
    </xf>
    <xf numFmtId="0" fontId="4" fillId="6" borderId="34" xfId="0" applyFont="1" applyFill="1" applyBorder="1" applyAlignment="1">
      <alignment horizontal="left" vertical="top" wrapText="1"/>
    </xf>
    <xf numFmtId="0" fontId="0" fillId="0" borderId="36" xfId="0" applyBorder="1" applyAlignment="1">
      <alignment horizontal="left" vertical="top" wrapText="1"/>
    </xf>
    <xf numFmtId="0" fontId="4" fillId="5" borderId="33" xfId="0" applyFont="1" applyFill="1" applyBorder="1" applyAlignment="1">
      <alignment horizontal="left" vertical="top" wrapText="1"/>
    </xf>
    <xf numFmtId="0" fontId="4" fillId="10" borderId="11" xfId="0" applyFont="1" applyFill="1" applyBorder="1" applyAlignment="1">
      <alignment horizontal="left" vertical="top" wrapText="1"/>
    </xf>
    <xf numFmtId="0" fontId="9" fillId="10" borderId="12" xfId="0" applyFont="1" applyFill="1" applyBorder="1" applyAlignment="1">
      <alignment horizontal="left" vertical="top" wrapText="1"/>
    </xf>
    <xf numFmtId="0" fontId="4" fillId="5" borderId="24"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12" xfId="0" applyFont="1" applyFill="1" applyBorder="1" applyAlignment="1">
      <alignment horizontal="left" vertical="top" wrapText="1"/>
    </xf>
    <xf numFmtId="0" fontId="15" fillId="5" borderId="12" xfId="0" applyFont="1" applyFill="1" applyBorder="1" applyAlignment="1">
      <alignment horizontal="left" vertical="top" wrapText="1"/>
    </xf>
    <xf numFmtId="0" fontId="4" fillId="10" borderId="12" xfId="0" applyFont="1" applyFill="1" applyBorder="1" applyAlignment="1">
      <alignment horizontal="left" vertical="top" wrapText="1"/>
    </xf>
    <xf numFmtId="0" fontId="15" fillId="10" borderId="11" xfId="0" applyFont="1" applyFill="1" applyBorder="1" applyAlignment="1">
      <alignment horizontal="left" vertical="top" wrapText="1"/>
    </xf>
    <xf numFmtId="0" fontId="15" fillId="10" borderId="12" xfId="0" applyFont="1" applyFill="1" applyBorder="1" applyAlignment="1">
      <alignment horizontal="left" vertical="top" wrapText="1"/>
    </xf>
    <xf numFmtId="0" fontId="15" fillId="10" borderId="24" xfId="0" applyFont="1" applyFill="1" applyBorder="1" applyAlignment="1">
      <alignment horizontal="left" vertical="top" wrapText="1"/>
    </xf>
    <xf numFmtId="0" fontId="4" fillId="6" borderId="75" xfId="0" applyFont="1" applyFill="1" applyBorder="1" applyAlignment="1">
      <alignment horizontal="left" vertical="top" wrapText="1"/>
    </xf>
    <xf numFmtId="0" fontId="4" fillId="6" borderId="74" xfId="0" applyFont="1" applyFill="1" applyBorder="1" applyAlignment="1">
      <alignment horizontal="left" vertical="top" wrapText="1"/>
    </xf>
    <xf numFmtId="0" fontId="3" fillId="0" borderId="15" xfId="0" applyFont="1" applyBorder="1" applyAlignment="1">
      <alignment horizontal="center" vertical="top" wrapText="1"/>
    </xf>
    <xf numFmtId="0" fontId="3" fillId="0" borderId="52" xfId="0" applyFont="1" applyBorder="1" applyAlignment="1">
      <alignment horizontal="center" vertical="top" wrapText="1"/>
    </xf>
    <xf numFmtId="0" fontId="6" fillId="0" borderId="18" xfId="0" applyFont="1" applyBorder="1" applyAlignment="1">
      <alignment horizontal="left" vertical="top" wrapText="1"/>
    </xf>
    <xf numFmtId="0" fontId="3" fillId="0" borderId="42" xfId="0" applyFont="1" applyBorder="1" applyAlignment="1">
      <alignment horizontal="center" vertical="top" wrapText="1"/>
    </xf>
    <xf numFmtId="0" fontId="3" fillId="0" borderId="17" xfId="0" applyFont="1" applyBorder="1" applyAlignment="1">
      <alignment horizontal="center" vertical="top" wrapText="1"/>
    </xf>
    <xf numFmtId="0" fontId="12" fillId="0" borderId="18" xfId="0" applyFont="1" applyBorder="1" applyAlignment="1">
      <alignment wrapText="1"/>
    </xf>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3" fillId="0" borderId="45" xfId="0" applyFont="1" applyBorder="1" applyAlignment="1">
      <alignment horizontal="center" vertical="top" wrapText="1"/>
    </xf>
    <xf numFmtId="164" fontId="0" fillId="0" borderId="45" xfId="0" applyNumberFormat="1" applyBorder="1" applyAlignment="1">
      <alignment horizontal="center" vertical="top" wrapText="1"/>
    </xf>
    <xf numFmtId="164" fontId="0" fillId="0" borderId="46" xfId="0" applyNumberFormat="1" applyBorder="1" applyAlignment="1">
      <alignment horizontal="center" vertical="top" wrapText="1"/>
    </xf>
    <xf numFmtId="164" fontId="0" fillId="0" borderId="47" xfId="0" applyNumberFormat="1" applyBorder="1" applyAlignment="1">
      <alignment horizontal="center" vertical="top" wrapText="1"/>
    </xf>
    <xf numFmtId="0" fontId="12" fillId="0" borderId="81" xfId="0" applyFont="1" applyBorder="1" applyAlignment="1">
      <alignment horizontal="left" vertical="top" wrapText="1"/>
    </xf>
    <xf numFmtId="0" fontId="0" fillId="0" borderId="47" xfId="0" applyBorder="1" applyAlignment="1">
      <alignment horizontal="left" vertical="top" wrapText="1"/>
    </xf>
    <xf numFmtId="0" fontId="18" fillId="3" borderId="6" xfId="0" applyFont="1" applyFill="1" applyBorder="1" applyAlignment="1">
      <alignment horizontal="left" vertical="top" wrapText="1"/>
    </xf>
    <xf numFmtId="0" fontId="6" fillId="3" borderId="25" xfId="0" applyFont="1" applyFill="1" applyBorder="1" applyAlignment="1">
      <alignment horizontal="left" vertical="top" wrapText="1"/>
    </xf>
    <xf numFmtId="0" fontId="19" fillId="3" borderId="31" xfId="0" applyFont="1" applyFill="1" applyBorder="1" applyAlignment="1">
      <alignment horizontal="left" vertical="top" wrapText="1"/>
    </xf>
    <xf numFmtId="0" fontId="12" fillId="3" borderId="25" xfId="0" applyFont="1" applyFill="1" applyBorder="1" applyAlignment="1">
      <alignment horizontal="left" vertical="top" wrapText="1"/>
    </xf>
    <xf numFmtId="0" fontId="12" fillId="3" borderId="26" xfId="0" applyFont="1" applyFill="1" applyBorder="1" applyAlignment="1">
      <alignment horizontal="left" vertical="top" wrapText="1"/>
    </xf>
    <xf numFmtId="0" fontId="12" fillId="3" borderId="31"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0" borderId="15" xfId="0" applyFont="1" applyBorder="1" applyAlignment="1">
      <alignment horizontal="left" vertical="top" wrapText="1"/>
    </xf>
    <xf numFmtId="0" fontId="3" fillId="0" borderId="49" xfId="0" applyFont="1" applyBorder="1" applyAlignment="1">
      <alignment horizontal="left" vertical="top" wrapText="1"/>
    </xf>
    <xf numFmtId="0" fontId="3" fillId="0" borderId="40" xfId="0" applyFont="1" applyBorder="1" applyAlignment="1">
      <alignment horizontal="left" vertical="top" wrapText="1"/>
    </xf>
    <xf numFmtId="0" fontId="3" fillId="0" borderId="82" xfId="0" applyFont="1" applyBorder="1" applyAlignment="1">
      <alignment horizontal="left" vertical="top" wrapText="1"/>
    </xf>
    <xf numFmtId="0" fontId="3" fillId="0" borderId="41" xfId="0" applyFont="1" applyBorder="1" applyAlignment="1">
      <alignment horizontal="left" vertical="top" wrapText="1"/>
    </xf>
    <xf numFmtId="0" fontId="12" fillId="0" borderId="17" xfId="0" applyFont="1" applyBorder="1" applyAlignment="1">
      <alignment wrapText="1"/>
    </xf>
    <xf numFmtId="0" fontId="3" fillId="0" borderId="44" xfId="0" applyFont="1" applyBorder="1" applyAlignment="1">
      <alignment horizontal="left" vertical="top" wrapText="1"/>
    </xf>
    <xf numFmtId="0" fontId="12" fillId="0" borderId="15" xfId="0" applyFont="1" applyBorder="1" applyAlignment="1">
      <alignment horizontal="left" vertical="top" wrapText="1"/>
    </xf>
    <xf numFmtId="0" fontId="12" fillId="0" borderId="17" xfId="0" applyFont="1" applyBorder="1" applyAlignment="1">
      <alignment horizontal="left" vertical="top" wrapText="1"/>
    </xf>
    <xf numFmtId="0" fontId="0" fillId="0" borderId="45" xfId="0" applyBorder="1" applyAlignment="1">
      <alignment horizontal="left" vertical="top" wrapText="1"/>
    </xf>
    <xf numFmtId="0" fontId="12" fillId="0" borderId="46" xfId="0" applyFont="1" applyBorder="1" applyAlignment="1">
      <alignment horizontal="center" vertical="top" wrapText="1"/>
    </xf>
    <xf numFmtId="0" fontId="12" fillId="0" borderId="47" xfId="0" applyFont="1" applyBorder="1" applyAlignment="1">
      <alignment horizontal="center" vertical="top" wrapText="1"/>
    </xf>
    <xf numFmtId="0" fontId="0" fillId="0" borderId="5" xfId="0" applyBorder="1" applyAlignment="1">
      <alignment horizontal="center"/>
    </xf>
    <xf numFmtId="0" fontId="6" fillId="5" borderId="11" xfId="0" applyFont="1" applyFill="1" applyBorder="1" applyAlignment="1">
      <alignment horizontal="left" vertical="top" wrapText="1"/>
    </xf>
    <xf numFmtId="0" fontId="6" fillId="5" borderId="24" xfId="0" applyFont="1" applyFill="1" applyBorder="1" applyAlignment="1">
      <alignment horizontal="left" vertical="top" wrapText="1"/>
    </xf>
    <xf numFmtId="0" fontId="6" fillId="5" borderId="12" xfId="0" applyFont="1" applyFill="1" applyBorder="1" applyAlignment="1">
      <alignment horizontal="left" vertical="top" wrapText="1"/>
    </xf>
    <xf numFmtId="0" fontId="6" fillId="5" borderId="37" xfId="0" applyFont="1" applyFill="1" applyBorder="1" applyAlignment="1">
      <alignment horizontal="left" vertical="top" wrapText="1"/>
    </xf>
    <xf numFmtId="0" fontId="6" fillId="10" borderId="21" xfId="0" applyFont="1" applyFill="1" applyBorder="1" applyAlignment="1">
      <alignment horizontal="left" vertical="top" wrapText="1"/>
    </xf>
    <xf numFmtId="0" fontId="6" fillId="10" borderId="12" xfId="0" applyFont="1" applyFill="1" applyBorder="1" applyAlignment="1">
      <alignment horizontal="left" vertical="top" wrapText="1"/>
    </xf>
    <xf numFmtId="0" fontId="6" fillId="10" borderId="24" xfId="0" applyFont="1" applyFill="1" applyBorder="1" applyAlignment="1">
      <alignment horizontal="left" vertical="top" wrapText="1"/>
    </xf>
    <xf numFmtId="0" fontId="6" fillId="5" borderId="7" xfId="0" applyFont="1" applyFill="1" applyBorder="1" applyAlignment="1">
      <alignment horizontal="left" vertical="top" wrapText="1"/>
    </xf>
    <xf numFmtId="0" fontId="12" fillId="5" borderId="12" xfId="0" applyFont="1" applyFill="1" applyBorder="1" applyAlignment="1">
      <alignment horizontal="left" vertical="top" wrapText="1"/>
    </xf>
    <xf numFmtId="0" fontId="12" fillId="10" borderId="24" xfId="0" applyFont="1" applyFill="1" applyBorder="1" applyAlignment="1">
      <alignment horizontal="left" vertical="top" wrapText="1"/>
    </xf>
    <xf numFmtId="0" fontId="3" fillId="0" borderId="55" xfId="0" applyFont="1" applyBorder="1" applyAlignment="1">
      <alignment horizontal="left" vertical="top" wrapText="1"/>
    </xf>
    <xf numFmtId="0" fontId="6" fillId="0" borderId="32" xfId="0" applyFont="1" applyBorder="1" applyAlignment="1">
      <alignment horizontal="left" vertical="top" wrapText="1"/>
    </xf>
    <xf numFmtId="0" fontId="6"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51" xfId="0" applyFont="1" applyBorder="1" applyAlignment="1">
      <alignment horizontal="left" vertical="top" wrapText="1"/>
    </xf>
    <xf numFmtId="0" fontId="6" fillId="0" borderId="50" xfId="0" applyFont="1" applyBorder="1" applyAlignment="1">
      <alignment horizontal="left" vertical="top" wrapText="1"/>
    </xf>
    <xf numFmtId="0" fontId="0" fillId="0" borderId="13" xfId="0" applyBorder="1" applyAlignment="1">
      <alignment vertical="center" wrapText="1"/>
    </xf>
    <xf numFmtId="0" fontId="6" fillId="0" borderId="14" xfId="0" applyFont="1" applyBorder="1" applyAlignment="1">
      <alignment horizontal="left" vertical="top" wrapText="1"/>
    </xf>
    <xf numFmtId="0" fontId="3" fillId="0" borderId="54" xfId="0" applyFont="1" applyBorder="1" applyAlignment="1">
      <alignment horizontal="left" vertical="top" wrapText="1"/>
    </xf>
    <xf numFmtId="0" fontId="12" fillId="0" borderId="18" xfId="0" applyFont="1" applyBorder="1" applyAlignment="1">
      <alignment vertical="top" wrapText="1"/>
    </xf>
    <xf numFmtId="0" fontId="12" fillId="0" borderId="32" xfId="0" applyFont="1" applyBorder="1" applyAlignment="1">
      <alignment vertical="top" wrapText="1"/>
    </xf>
    <xf numFmtId="0" fontId="3" fillId="0" borderId="45" xfId="0" applyFont="1" applyBorder="1" applyAlignment="1">
      <alignment horizontal="left" vertical="top" wrapText="1"/>
    </xf>
    <xf numFmtId="0" fontId="6" fillId="0" borderId="81" xfId="0" applyFont="1" applyBorder="1" applyAlignment="1">
      <alignment horizontal="left" vertical="top" wrapText="1"/>
    </xf>
    <xf numFmtId="0" fontId="6" fillId="0" borderId="47" xfId="0" applyFont="1" applyBorder="1" applyAlignment="1">
      <alignment horizontal="left" vertical="top" wrapText="1"/>
    </xf>
    <xf numFmtId="0" fontId="4" fillId="6" borderId="33" xfId="0" applyFont="1" applyFill="1" applyBorder="1" applyAlignment="1">
      <alignment horizontal="left" vertical="top" wrapText="1"/>
    </xf>
    <xf numFmtId="0" fontId="6" fillId="0" borderId="24" xfId="0" applyFont="1" applyBorder="1" applyAlignment="1">
      <alignment horizontal="left" vertical="top" wrapText="1"/>
    </xf>
    <xf numFmtId="0" fontId="6" fillId="0" borderId="7" xfId="0" applyFont="1" applyBorder="1" applyAlignment="1">
      <alignment horizontal="left" vertical="top" wrapText="1"/>
    </xf>
    <xf numFmtId="0" fontId="12" fillId="0" borderId="12" xfId="0" applyFont="1" applyBorder="1" applyAlignment="1">
      <alignment vertical="top" wrapText="1"/>
    </xf>
    <xf numFmtId="0" fontId="12" fillId="0" borderId="24" xfId="0" applyFont="1" applyBorder="1" applyAlignment="1">
      <alignment vertical="top" wrapText="1"/>
    </xf>
    <xf numFmtId="0" fontId="6" fillId="0" borderId="83" xfId="0" applyFont="1" applyBorder="1" applyAlignment="1">
      <alignment horizontal="left" vertical="top" wrapText="1"/>
    </xf>
    <xf numFmtId="0" fontId="3" fillId="3" borderId="26" xfId="0" applyFont="1" applyFill="1" applyBorder="1" applyAlignment="1">
      <alignment horizontal="left" vertical="top" wrapText="1"/>
    </xf>
    <xf numFmtId="0" fontId="3" fillId="3" borderId="31" xfId="0" applyFont="1" applyFill="1" applyBorder="1" applyAlignment="1">
      <alignment horizontal="left" vertical="top" wrapText="1"/>
    </xf>
    <xf numFmtId="0" fontId="6" fillId="3" borderId="26" xfId="0" applyFont="1" applyFill="1" applyBorder="1" applyAlignment="1">
      <alignment horizontal="left" vertical="top" wrapText="1"/>
    </xf>
    <xf numFmtId="0" fontId="3" fillId="3" borderId="25" xfId="0" applyFont="1" applyFill="1" applyBorder="1" applyAlignment="1">
      <alignment horizontal="left" vertical="top" wrapText="1"/>
    </xf>
    <xf numFmtId="0" fontId="6" fillId="3" borderId="35" xfId="0" applyFont="1" applyFill="1" applyBorder="1" applyAlignment="1">
      <alignment horizontal="left" vertical="top" wrapText="1"/>
    </xf>
    <xf numFmtId="0" fontId="6" fillId="3" borderId="31"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84" xfId="0" applyFont="1" applyBorder="1" applyAlignment="1">
      <alignment horizontal="lef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51" xfId="0" applyFont="1" applyBorder="1" applyAlignment="1">
      <alignment horizontal="left" vertical="top" wrapText="1"/>
    </xf>
    <xf numFmtId="0" fontId="6" fillId="0" borderId="54" xfId="0" applyFont="1" applyBorder="1" applyAlignment="1">
      <alignment horizontal="left" vertical="top" wrapText="1"/>
    </xf>
    <xf numFmtId="0" fontId="6" fillId="0" borderId="18" xfId="0" applyFont="1" applyBorder="1" applyAlignment="1">
      <alignment horizontal="center" vertical="top" wrapText="1"/>
    </xf>
    <xf numFmtId="0" fontId="6" fillId="0" borderId="13" xfId="0" applyFont="1" applyBorder="1" applyAlignment="1">
      <alignment horizontal="left" vertical="top" wrapText="1"/>
    </xf>
    <xf numFmtId="0" fontId="6" fillId="0" borderId="14" xfId="0" applyFont="1" applyBorder="1" applyAlignment="1">
      <alignment horizontal="center" vertical="top" wrapText="1"/>
    </xf>
    <xf numFmtId="0" fontId="12" fillId="0" borderId="32" xfId="0" applyFont="1" applyBorder="1" applyAlignment="1">
      <alignment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26" fillId="0" borderId="33" xfId="0" applyFont="1" applyBorder="1" applyAlignment="1">
      <alignment horizontal="left" vertical="top"/>
    </xf>
    <xf numFmtId="0" fontId="0" fillId="0" borderId="36" xfId="0" applyBorder="1" applyAlignment="1">
      <alignment horizontal="left" vertical="top"/>
    </xf>
    <xf numFmtId="0" fontId="6" fillId="10" borderId="7" xfId="0" applyFont="1" applyFill="1" applyBorder="1" applyAlignment="1">
      <alignment horizontal="left" vertical="top" wrapText="1"/>
    </xf>
    <xf numFmtId="0" fontId="12" fillId="5" borderId="11" xfId="0" applyFont="1" applyFill="1" applyBorder="1" applyAlignment="1">
      <alignment vertical="top" wrapText="1"/>
    </xf>
    <xf numFmtId="0" fontId="12" fillId="5" borderId="24" xfId="0" applyFont="1" applyFill="1" applyBorder="1" applyAlignment="1">
      <alignment vertical="top" wrapText="1"/>
    </xf>
    <xf numFmtId="0" fontId="12" fillId="10" borderId="11" xfId="0" applyFont="1" applyFill="1" applyBorder="1" applyAlignment="1">
      <alignment horizontal="left" vertical="top" wrapText="1"/>
    </xf>
    <xf numFmtId="0" fontId="12" fillId="5" borderId="23" xfId="0" applyFont="1" applyFill="1" applyBorder="1" applyAlignment="1">
      <alignment horizontal="left" vertical="top" wrapText="1"/>
    </xf>
    <xf numFmtId="0" fontId="12" fillId="5" borderId="24" xfId="0" applyFont="1" applyFill="1" applyBorder="1" applyAlignment="1">
      <alignment horizontal="left" vertical="top" wrapText="1"/>
    </xf>
    <xf numFmtId="0" fontId="12" fillId="5" borderId="11" xfId="0" applyFont="1" applyFill="1" applyBorder="1" applyAlignment="1">
      <alignment horizontal="left" vertical="top" wrapText="1"/>
    </xf>
    <xf numFmtId="0" fontId="3" fillId="0" borderId="14" xfId="0" applyFont="1" applyBorder="1" applyAlignment="1">
      <alignment horizontal="left" vertical="top" wrapText="1"/>
    </xf>
    <xf numFmtId="0" fontId="12" fillId="0" borderId="16" xfId="0" applyFont="1" applyBorder="1" applyAlignment="1">
      <alignment vertical="top" wrapText="1"/>
    </xf>
    <xf numFmtId="0" fontId="3" fillId="0" borderId="75" xfId="0" applyFont="1" applyBorder="1" applyAlignment="1">
      <alignment horizontal="center" vertical="top" wrapText="1"/>
    </xf>
    <xf numFmtId="0" fontId="12" fillId="0" borderId="32" xfId="0" applyFont="1" applyBorder="1" applyAlignment="1">
      <alignment horizontal="left" vertical="top" wrapText="1"/>
    </xf>
    <xf numFmtId="0" fontId="3" fillId="0" borderId="54" xfId="0" applyFont="1" applyBorder="1" applyAlignment="1">
      <alignment horizontal="center" vertical="top" wrapText="1"/>
    </xf>
    <xf numFmtId="0" fontId="12" fillId="0" borderId="55" xfId="0" applyFont="1" applyBorder="1" applyAlignment="1">
      <alignment vertical="top" wrapText="1"/>
    </xf>
    <xf numFmtId="0" fontId="12" fillId="0" borderId="81" xfId="0" applyFont="1" applyBorder="1" applyAlignment="1">
      <alignment vertical="top" wrapText="1"/>
    </xf>
    <xf numFmtId="0" fontId="12" fillId="0" borderId="47" xfId="0" applyFont="1" applyBorder="1" applyAlignment="1">
      <alignment vertical="top" wrapText="1"/>
    </xf>
    <xf numFmtId="0" fontId="0" fillId="3" borderId="26" xfId="0" applyFill="1" applyBorder="1" applyAlignment="1">
      <alignment horizontal="left" vertical="top"/>
    </xf>
    <xf numFmtId="0" fontId="0" fillId="3" borderId="31" xfId="0" applyFill="1" applyBorder="1" applyAlignment="1">
      <alignment horizontal="left" vertical="top"/>
    </xf>
    <xf numFmtId="0" fontId="12" fillId="3" borderId="38" xfId="0" applyFont="1" applyFill="1" applyBorder="1" applyAlignment="1">
      <alignment horizontal="left" vertical="top" wrapText="1"/>
    </xf>
    <xf numFmtId="0" fontId="3" fillId="0" borderId="13" xfId="0" applyFont="1" applyBorder="1" applyAlignment="1">
      <alignment horizontal="left" vertical="top" wrapText="1"/>
    </xf>
    <xf numFmtId="0" fontId="12" fillId="0" borderId="16" xfId="0" applyFont="1" applyBorder="1" applyAlignment="1">
      <alignment horizontal="center" vertical="top" wrapText="1"/>
    </xf>
    <xf numFmtId="0" fontId="12" fillId="0" borderId="32" xfId="0" applyFont="1" applyBorder="1" applyAlignment="1">
      <alignment horizontal="center" vertical="top" wrapText="1"/>
    </xf>
    <xf numFmtId="0" fontId="12" fillId="0" borderId="42" xfId="0" applyFont="1" applyBorder="1" applyAlignment="1">
      <alignment horizontal="left" vertical="top" wrapText="1"/>
    </xf>
    <xf numFmtId="0" fontId="12" fillId="0" borderId="54" xfId="0" applyFont="1" applyBorder="1" applyAlignment="1">
      <alignment vertical="top" wrapText="1"/>
    </xf>
    <xf numFmtId="0" fontId="12" fillId="0" borderId="45" xfId="0" applyFont="1" applyBorder="1" applyAlignment="1">
      <alignment vertical="top" wrapText="1"/>
    </xf>
    <xf numFmtId="0" fontId="12" fillId="0" borderId="46" xfId="0" applyFont="1" applyBorder="1" applyAlignment="1">
      <alignment vertical="top" wrapText="1"/>
    </xf>
    <xf numFmtId="0" fontId="12" fillId="10" borderId="11" xfId="0" applyFont="1" applyFill="1" applyBorder="1" applyAlignment="1">
      <alignment vertical="top" wrapText="1"/>
    </xf>
    <xf numFmtId="0" fontId="12" fillId="10" borderId="12" xfId="0" applyFont="1" applyFill="1" applyBorder="1" applyAlignment="1">
      <alignment vertical="top" wrapText="1"/>
    </xf>
    <xf numFmtId="0" fontId="12" fillId="10" borderId="24" xfId="0" applyFont="1" applyFill="1" applyBorder="1" applyAlignment="1">
      <alignment vertical="top" wrapText="1"/>
    </xf>
    <xf numFmtId="0" fontId="12" fillId="0" borderId="26" xfId="0" applyFont="1" applyBorder="1" applyAlignment="1">
      <alignment horizontal="center" vertical="top" wrapText="1"/>
    </xf>
    <xf numFmtId="0" fontId="12" fillId="0" borderId="31" xfId="0" applyFont="1" applyBorder="1" applyAlignment="1">
      <alignment horizontal="center" vertical="top" wrapText="1"/>
    </xf>
    <xf numFmtId="0" fontId="12" fillId="10" borderId="7" xfId="0" applyFont="1" applyFill="1" applyBorder="1" applyAlignment="1">
      <alignment horizontal="left" vertical="top" wrapText="1"/>
    </xf>
    <xf numFmtId="0" fontId="6" fillId="0" borderId="73" xfId="0" applyFont="1" applyBorder="1" applyAlignment="1">
      <alignment horizontal="left" vertical="top" wrapText="1"/>
    </xf>
    <xf numFmtId="0" fontId="6" fillId="0" borderId="55" xfId="0" applyFont="1" applyBorder="1" applyAlignment="1">
      <alignment horizontal="left" vertical="top" wrapText="1"/>
    </xf>
    <xf numFmtId="0" fontId="0" fillId="0" borderId="17" xfId="0" applyBorder="1" applyAlignment="1">
      <alignment vertical="center" wrapText="1"/>
    </xf>
    <xf numFmtId="0" fontId="3" fillId="0" borderId="57" xfId="0" applyFont="1" applyBorder="1" applyAlignment="1">
      <alignment horizontal="left" vertical="top" wrapText="1"/>
    </xf>
    <xf numFmtId="164" fontId="3" fillId="0" borderId="57" xfId="0" applyNumberFormat="1" applyFont="1" applyBorder="1" applyAlignment="1">
      <alignment horizontal="center" vertical="top" wrapText="1"/>
    </xf>
    <xf numFmtId="164" fontId="3" fillId="0" borderId="58" xfId="0" applyNumberFormat="1" applyFont="1" applyBorder="1" applyAlignment="1">
      <alignment horizontal="center" vertical="top" wrapText="1"/>
    </xf>
    <xf numFmtId="164" fontId="3" fillId="0" borderId="59" xfId="0" applyNumberFormat="1" applyFont="1" applyBorder="1" applyAlignment="1">
      <alignment horizontal="center" vertical="top" wrapText="1"/>
    </xf>
    <xf numFmtId="0" fontId="12" fillId="0" borderId="85" xfId="0" applyFont="1" applyBorder="1" applyAlignment="1">
      <alignment vertical="top" wrapText="1"/>
    </xf>
    <xf numFmtId="0" fontId="12" fillId="0" borderId="59" xfId="0" applyFont="1" applyBorder="1" applyAlignment="1">
      <alignment vertical="top" wrapText="1"/>
    </xf>
    <xf numFmtId="0" fontId="6" fillId="3" borderId="6" xfId="0" applyFont="1" applyFill="1" applyBorder="1" applyAlignment="1">
      <alignment horizontal="left" vertical="top" wrapText="1"/>
    </xf>
    <xf numFmtId="0" fontId="12" fillId="11" borderId="6" xfId="0" applyFont="1" applyFill="1" applyBorder="1" applyAlignment="1">
      <alignment horizontal="left" vertical="top" wrapText="1"/>
    </xf>
    <xf numFmtId="0" fontId="6" fillId="0" borderId="76" xfId="0" applyFont="1" applyBorder="1" applyAlignment="1">
      <alignment horizontal="left" vertical="top" wrapText="1"/>
    </xf>
    <xf numFmtId="0" fontId="6" fillId="0" borderId="53" xfId="0" applyFont="1" applyBorder="1" applyAlignment="1">
      <alignment horizontal="left" vertical="top" wrapText="1"/>
    </xf>
    <xf numFmtId="0" fontId="12" fillId="0" borderId="57" xfId="0" applyFont="1" applyBorder="1" applyAlignment="1">
      <alignment vertical="top" wrapText="1"/>
    </xf>
    <xf numFmtId="0" fontId="12" fillId="0" borderId="58" xfId="0" applyFont="1" applyBorder="1" applyAlignment="1">
      <alignment vertical="top" wrapText="1"/>
    </xf>
    <xf numFmtId="0" fontId="6" fillId="5" borderId="23" xfId="0" applyFont="1" applyFill="1" applyBorder="1" applyAlignment="1">
      <alignment horizontal="left" vertical="top" wrapText="1"/>
    </xf>
    <xf numFmtId="0" fontId="12" fillId="10" borderId="12" xfId="0" applyFont="1" applyFill="1" applyBorder="1" applyAlignment="1">
      <alignment horizontal="left" vertical="top" wrapText="1"/>
    </xf>
    <xf numFmtId="0" fontId="6" fillId="3" borderId="38" xfId="0" applyFont="1" applyFill="1" applyBorder="1" applyAlignment="1">
      <alignment horizontal="left" vertical="top" wrapText="1"/>
    </xf>
    <xf numFmtId="0" fontId="0" fillId="11" borderId="25" xfId="0" applyFill="1" applyBorder="1" applyAlignment="1">
      <alignment horizontal="left" vertical="top" wrapText="1"/>
    </xf>
    <xf numFmtId="0" fontId="12" fillId="3" borderId="25" xfId="0" applyFont="1" applyFill="1" applyBorder="1" applyAlignment="1">
      <alignment vertical="top" wrapText="1"/>
    </xf>
    <xf numFmtId="0" fontId="6" fillId="10" borderId="11" xfId="0" applyFont="1" applyFill="1" applyBorder="1" applyAlignment="1">
      <alignment horizontal="left" vertical="top" wrapText="1"/>
    </xf>
    <xf numFmtId="0" fontId="4" fillId="0" borderId="17" xfId="0" applyFont="1" applyBorder="1" applyAlignment="1">
      <alignment horizontal="left" vertical="top" wrapText="1"/>
    </xf>
    <xf numFmtId="0" fontId="6" fillId="0" borderId="21" xfId="0" applyFont="1" applyBorder="1" applyAlignment="1">
      <alignment horizontal="left" vertical="top" wrapText="1"/>
    </xf>
    <xf numFmtId="0" fontId="0" fillId="7" borderId="86" xfId="0" applyFill="1" applyBorder="1" applyAlignment="1">
      <alignment horizontal="center" vertical="center"/>
    </xf>
    <xf numFmtId="0" fontId="6" fillId="0" borderId="50" xfId="0" applyFont="1" applyBorder="1" applyAlignment="1">
      <alignment horizontal="center" vertical="top" wrapText="1"/>
    </xf>
    <xf numFmtId="0" fontId="0" fillId="7" borderId="88" xfId="0" applyFill="1" applyBorder="1" applyAlignment="1">
      <alignment horizontal="center" vertical="center"/>
    </xf>
    <xf numFmtId="0" fontId="0" fillId="0" borderId="88" xfId="0" applyBorder="1" applyAlignment="1">
      <alignment horizontal="center" vertical="center"/>
    </xf>
    <xf numFmtId="0" fontId="6" fillId="0" borderId="16" xfId="0" applyFont="1" applyBorder="1" applyAlignment="1">
      <alignment horizontal="center" vertical="top" wrapText="1"/>
    </xf>
    <xf numFmtId="0" fontId="16" fillId="7" borderId="82" xfId="0" applyFont="1" applyFill="1" applyBorder="1" applyAlignment="1">
      <alignment horizontal="center" vertical="center"/>
    </xf>
    <xf numFmtId="0" fontId="3" fillId="0" borderId="44" xfId="0" applyFont="1" applyBorder="1" applyAlignment="1">
      <alignment horizontal="center" vertical="top" wrapText="1"/>
    </xf>
    <xf numFmtId="0" fontId="0" fillId="7" borderId="90" xfId="0" applyFill="1" applyBorder="1" applyAlignment="1">
      <alignment horizontal="center" vertical="center"/>
    </xf>
    <xf numFmtId="0" fontId="12" fillId="0" borderId="14" xfId="0" applyFont="1" applyBorder="1" applyAlignment="1">
      <alignment wrapText="1"/>
    </xf>
    <xf numFmtId="0" fontId="16" fillId="7" borderId="86" xfId="0" applyFont="1" applyFill="1" applyBorder="1" applyAlignment="1">
      <alignment horizontal="center" vertical="center"/>
    </xf>
    <xf numFmtId="0" fontId="12" fillId="0" borderId="14" xfId="0" applyFont="1" applyBorder="1" applyAlignment="1">
      <alignment vertical="top" wrapText="1"/>
    </xf>
    <xf numFmtId="0" fontId="3" fillId="7" borderId="44" xfId="0" applyFont="1" applyFill="1" applyBorder="1" applyAlignment="1">
      <alignment horizontal="left" vertical="top" wrapText="1"/>
    </xf>
    <xf numFmtId="0" fontId="0" fillId="0" borderId="43" xfId="0" applyBorder="1" applyAlignment="1">
      <alignment horizontal="center" vertical="top" wrapText="1"/>
    </xf>
    <xf numFmtId="0" fontId="12" fillId="0" borderId="73" xfId="0" applyFont="1" applyBorder="1" applyAlignment="1">
      <alignment vertical="top" wrapText="1"/>
    </xf>
    <xf numFmtId="0" fontId="12" fillId="0" borderId="74" xfId="0" applyFont="1" applyBorder="1" applyAlignment="1">
      <alignment horizontal="center" vertical="top" wrapText="1"/>
    </xf>
    <xf numFmtId="0" fontId="3" fillId="13" borderId="44" xfId="0" applyFont="1" applyFill="1" applyBorder="1" applyAlignment="1">
      <alignment horizontal="left" vertical="top" wrapText="1"/>
    </xf>
    <xf numFmtId="0" fontId="0" fillId="7" borderId="43" xfId="0" applyFill="1" applyBorder="1" applyAlignment="1">
      <alignment horizontal="left" vertical="top" wrapText="1"/>
    </xf>
    <xf numFmtId="0" fontId="6" fillId="0" borderId="32" xfId="0" applyFont="1" applyBorder="1" applyAlignment="1">
      <alignment horizontal="center" vertical="top" wrapText="1"/>
    </xf>
    <xf numFmtId="0" fontId="6" fillId="0" borderId="55" xfId="0" applyFont="1" applyBorder="1" applyAlignment="1">
      <alignment horizontal="center" vertical="top" wrapText="1"/>
    </xf>
    <xf numFmtId="0" fontId="3" fillId="0" borderId="77" xfId="0" applyFont="1" applyBorder="1" applyAlignment="1">
      <alignment horizontal="center" vertical="top" wrapText="1"/>
    </xf>
    <xf numFmtId="0" fontId="16" fillId="0" borderId="86" xfId="0" applyFont="1" applyBorder="1" applyAlignment="1">
      <alignment horizontal="center" vertical="center"/>
    </xf>
    <xf numFmtId="0" fontId="6" fillId="10" borderId="37" xfId="0" applyFont="1" applyFill="1" applyBorder="1" applyAlignment="1">
      <alignment horizontal="left" vertical="top" wrapText="1"/>
    </xf>
    <xf numFmtId="0" fontId="12" fillId="5" borderId="7" xfId="0" applyFont="1" applyFill="1" applyBorder="1" applyAlignment="1">
      <alignment horizontal="left" vertical="top" wrapText="1"/>
    </xf>
    <xf numFmtId="0" fontId="12" fillId="5" borderId="23" xfId="0" applyFont="1" applyFill="1" applyBorder="1" applyAlignment="1">
      <alignment vertical="top" wrapText="1"/>
    </xf>
    <xf numFmtId="0" fontId="6" fillId="10" borderId="23" xfId="0" applyFont="1" applyFill="1" applyBorder="1" applyAlignment="1">
      <alignment horizontal="left" vertical="top" wrapText="1"/>
    </xf>
    <xf numFmtId="0" fontId="12" fillId="10" borderId="7" xfId="0" applyFont="1" applyFill="1" applyBorder="1" applyAlignment="1">
      <alignment vertical="top" wrapText="1"/>
    </xf>
    <xf numFmtId="0" fontId="0" fillId="4" borderId="76" xfId="0" applyFill="1" applyBorder="1" applyAlignment="1">
      <alignment horizontal="center" vertical="center"/>
    </xf>
    <xf numFmtId="0" fontId="3" fillId="0" borderId="50" xfId="0" applyFont="1" applyBorder="1" applyAlignment="1">
      <alignment horizontal="left" vertical="top" wrapText="1"/>
    </xf>
    <xf numFmtId="0" fontId="0" fillId="4" borderId="13" xfId="0" applyFill="1" applyBorder="1" applyAlignment="1">
      <alignment horizontal="center" vertical="center"/>
    </xf>
    <xf numFmtId="0" fontId="16" fillId="4" borderId="15" xfId="0" applyFont="1" applyFill="1" applyBorder="1" applyAlignment="1">
      <alignment horizontal="center" vertical="center"/>
    </xf>
    <xf numFmtId="0" fontId="16" fillId="7" borderId="17" xfId="0" applyFont="1" applyFill="1" applyBorder="1" applyAlignment="1">
      <alignment horizontal="center" vertical="center"/>
    </xf>
    <xf numFmtId="0" fontId="0" fillId="4" borderId="52" xfId="0" applyFill="1" applyBorder="1" applyAlignment="1">
      <alignment horizontal="center" vertical="center"/>
    </xf>
    <xf numFmtId="0" fontId="16" fillId="4" borderId="17" xfId="0" applyFont="1" applyFill="1" applyBorder="1" applyAlignment="1">
      <alignment horizontal="center" vertical="center"/>
    </xf>
    <xf numFmtId="0" fontId="0" fillId="4" borderId="42" xfId="0" applyFill="1" applyBorder="1" applyAlignment="1">
      <alignment horizontal="center" vertical="center"/>
    </xf>
    <xf numFmtId="0" fontId="16" fillId="7" borderId="92" xfId="0" applyFont="1" applyFill="1" applyBorder="1" applyAlignment="1">
      <alignment horizontal="center" vertical="center"/>
    </xf>
    <xf numFmtId="0" fontId="0" fillId="7" borderId="93" xfId="0" applyFill="1" applyBorder="1" applyAlignment="1">
      <alignment horizontal="center" vertical="center"/>
    </xf>
    <xf numFmtId="0" fontId="0" fillId="7" borderId="13" xfId="0" applyFill="1" applyBorder="1" applyAlignment="1">
      <alignment horizontal="center" vertical="center"/>
    </xf>
    <xf numFmtId="0" fontId="3" fillId="4" borderId="15"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4" borderId="42" xfId="0" applyFont="1" applyFill="1" applyBorder="1" applyAlignment="1">
      <alignment horizontal="left" vertical="top" wrapText="1"/>
    </xf>
    <xf numFmtId="0" fontId="0" fillId="8" borderId="15" xfId="0" applyFill="1" applyBorder="1" applyAlignment="1">
      <alignment horizontal="center" vertical="top" wrapText="1"/>
    </xf>
    <xf numFmtId="0" fontId="12" fillId="0" borderId="73" xfId="0" applyFont="1" applyBorder="1" applyAlignment="1">
      <alignment horizontal="left" vertical="top" wrapText="1"/>
    </xf>
    <xf numFmtId="0" fontId="0" fillId="8" borderId="42" xfId="0" applyFill="1" applyBorder="1" applyAlignment="1">
      <alignment horizontal="center" vertical="top" wrapText="1"/>
    </xf>
    <xf numFmtId="0" fontId="3" fillId="13" borderId="17" xfId="0" applyFont="1" applyFill="1" applyBorder="1" applyAlignment="1">
      <alignment horizontal="left" vertical="top" wrapText="1"/>
    </xf>
    <xf numFmtId="0" fontId="0" fillId="7" borderId="15" xfId="0" applyFill="1" applyBorder="1" applyAlignment="1">
      <alignment horizontal="left" vertical="top" wrapText="1"/>
    </xf>
    <xf numFmtId="0" fontId="0" fillId="7" borderId="17" xfId="0" applyFill="1" applyBorder="1" applyAlignment="1">
      <alignment horizontal="center" vertical="top" wrapText="1"/>
    </xf>
    <xf numFmtId="0" fontId="3" fillId="7" borderId="17" xfId="0" applyFont="1" applyFill="1" applyBorder="1" applyAlignment="1">
      <alignment horizontal="left" vertical="top" wrapText="1"/>
    </xf>
    <xf numFmtId="0" fontId="0" fillId="0" borderId="42" xfId="0" applyBorder="1" applyAlignment="1">
      <alignment horizontal="center" vertical="top" wrapText="1"/>
    </xf>
    <xf numFmtId="0" fontId="0" fillId="0" borderId="15" xfId="0" applyBorder="1" applyAlignment="1">
      <alignment horizontal="center" vertical="top" wrapText="1"/>
    </xf>
    <xf numFmtId="0" fontId="0" fillId="0" borderId="17" xfId="0" applyBorder="1" applyAlignment="1">
      <alignment horizontal="center" vertical="top" wrapText="1"/>
    </xf>
    <xf numFmtId="0" fontId="12" fillId="0" borderId="16" xfId="0" applyFont="1" applyBorder="1" applyAlignment="1">
      <alignment vertical="top"/>
    </xf>
    <xf numFmtId="0" fontId="12" fillId="0" borderId="32" xfId="0" applyFont="1" applyBorder="1" applyAlignment="1">
      <alignment vertical="top"/>
    </xf>
    <xf numFmtId="0" fontId="12" fillId="0" borderId="17" xfId="0" applyFont="1" applyBorder="1" applyAlignment="1">
      <alignment horizontal="center" vertical="top"/>
    </xf>
    <xf numFmtId="0" fontId="0" fillId="0" borderId="42" xfId="0" applyBorder="1" applyAlignment="1">
      <alignment horizontal="center" vertical="center"/>
    </xf>
    <xf numFmtId="0" fontId="0" fillId="0" borderId="14" xfId="0" applyBorder="1" applyAlignment="1">
      <alignment vertical="top" wrapText="1"/>
    </xf>
    <xf numFmtId="0" fontId="0" fillId="0" borderId="85" xfId="0" applyBorder="1" applyAlignment="1">
      <alignment vertical="top" wrapText="1"/>
    </xf>
    <xf numFmtId="0" fontId="0" fillId="0" borderId="59" xfId="0" applyBorder="1" applyAlignment="1">
      <alignment vertical="top" wrapText="1"/>
    </xf>
    <xf numFmtId="0" fontId="26" fillId="0" borderId="0" xfId="0" applyFont="1" applyAlignment="1">
      <alignment horizontal="left" vertical="top" wrapText="1"/>
    </xf>
    <xf numFmtId="0" fontId="0" fillId="0" borderId="35" xfId="0" applyBorder="1" applyAlignment="1">
      <alignment horizontal="left" vertical="top" wrapText="1"/>
    </xf>
    <xf numFmtId="0" fontId="26" fillId="0" borderId="36" xfId="0" applyFont="1" applyBorder="1" applyAlignment="1">
      <alignment horizontal="left" vertical="top"/>
    </xf>
    <xf numFmtId="0" fontId="12" fillId="0" borderId="11" xfId="0" applyFont="1" applyBorder="1" applyAlignment="1">
      <alignment vertical="top" wrapText="1"/>
    </xf>
    <xf numFmtId="0" fontId="0" fillId="7" borderId="43" xfId="0" applyFill="1" applyBorder="1" applyAlignment="1">
      <alignment horizontal="center" vertical="center"/>
    </xf>
    <xf numFmtId="0" fontId="0" fillId="7" borderId="44" xfId="0" applyFill="1" applyBorder="1" applyAlignment="1">
      <alignment horizontal="center" vertical="center"/>
    </xf>
    <xf numFmtId="0" fontId="3" fillId="0" borderId="94" xfId="0" applyFont="1" applyBorder="1" applyAlignment="1">
      <alignment horizontal="left" vertical="top" wrapText="1"/>
    </xf>
    <xf numFmtId="0" fontId="0" fillId="7" borderId="91" xfId="0" applyFill="1" applyBorder="1" applyAlignment="1">
      <alignment horizontal="center" vertical="center"/>
    </xf>
    <xf numFmtId="0" fontId="0" fillId="7" borderId="89" xfId="0" applyFill="1" applyBorder="1" applyAlignment="1">
      <alignment horizontal="center" vertical="center"/>
    </xf>
    <xf numFmtId="0" fontId="0" fillId="4" borderId="77" xfId="0" applyFill="1" applyBorder="1" applyAlignment="1">
      <alignment horizontal="left" vertical="top" wrapText="1"/>
    </xf>
    <xf numFmtId="0" fontId="3" fillId="10" borderId="12" xfId="0" applyFont="1" applyFill="1" applyBorder="1" applyAlignment="1">
      <alignment horizontal="left" vertical="top" wrapText="1"/>
    </xf>
    <xf numFmtId="0" fontId="0" fillId="7" borderId="92" xfId="0" applyFill="1" applyBorder="1" applyAlignment="1">
      <alignment horizontal="center" vertical="center"/>
    </xf>
    <xf numFmtId="0" fontId="0" fillId="4" borderId="97" xfId="0" applyFill="1" applyBorder="1" applyAlignment="1">
      <alignment horizontal="center" vertical="center"/>
    </xf>
    <xf numFmtId="0" fontId="0" fillId="4" borderId="98" xfId="0" applyFill="1" applyBorder="1" applyAlignment="1">
      <alignment horizontal="center" vertical="center"/>
    </xf>
    <xf numFmtId="0" fontId="16" fillId="7" borderId="15" xfId="0" applyFont="1" applyFill="1" applyBorder="1" applyAlignment="1">
      <alignment horizontal="center" vertical="center"/>
    </xf>
    <xf numFmtId="0" fontId="0" fillId="7" borderId="17" xfId="0" applyFill="1" applyBorder="1" applyAlignment="1">
      <alignment horizontal="center" vertical="center"/>
    </xf>
    <xf numFmtId="0" fontId="0" fillId="7" borderId="42" xfId="0" applyFill="1" applyBorder="1" applyAlignment="1">
      <alignment horizontal="center" vertical="center"/>
    </xf>
    <xf numFmtId="0" fontId="0" fillId="7" borderId="15" xfId="0" applyFill="1" applyBorder="1" applyAlignment="1">
      <alignment horizontal="center" vertical="center"/>
    </xf>
    <xf numFmtId="0" fontId="3" fillId="8" borderId="42" xfId="0" applyFont="1" applyFill="1" applyBorder="1" applyAlignment="1">
      <alignment horizontal="left" vertical="top" wrapText="1"/>
    </xf>
    <xf numFmtId="0" fontId="0" fillId="4" borderId="42" xfId="0" applyFill="1" applyBorder="1" applyAlignment="1">
      <alignment horizontal="left" vertical="top" wrapText="1"/>
    </xf>
    <xf numFmtId="0" fontId="16" fillId="0" borderId="15" xfId="0" applyFont="1"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top" wrapText="1"/>
    </xf>
    <xf numFmtId="0" fontId="6" fillId="0" borderId="71" xfId="0" applyFont="1" applyBorder="1" applyAlignment="1">
      <alignment horizontal="left" vertical="top" wrapText="1"/>
    </xf>
    <xf numFmtId="0" fontId="6" fillId="0" borderId="11" xfId="0" applyFont="1" applyBorder="1" applyAlignment="1">
      <alignment vertical="top" wrapText="1"/>
    </xf>
    <xf numFmtId="0" fontId="3" fillId="7" borderId="91" xfId="0" applyFont="1" applyFill="1" applyBorder="1" applyAlignment="1">
      <alignment horizontal="center" vertical="top" wrapText="1"/>
    </xf>
    <xf numFmtId="0" fontId="12" fillId="0" borderId="50" xfId="0" applyFont="1" applyBorder="1" applyAlignment="1">
      <alignment vertical="top" wrapText="1"/>
    </xf>
    <xf numFmtId="0" fontId="16" fillId="7" borderId="77" xfId="0" applyFont="1" applyFill="1" applyBorder="1" applyAlignment="1">
      <alignment horizontal="center" vertical="center"/>
    </xf>
    <xf numFmtId="0" fontId="12" fillId="0" borderId="74" xfId="0" applyFont="1" applyBorder="1" applyAlignment="1">
      <alignment vertical="top" wrapText="1"/>
    </xf>
    <xf numFmtId="0" fontId="3" fillId="7" borderId="43" xfId="0" applyFont="1" applyFill="1" applyBorder="1" applyAlignment="1">
      <alignment horizontal="left" vertical="top" wrapText="1"/>
    </xf>
    <xf numFmtId="0" fontId="3" fillId="7" borderId="82" xfId="0" applyFont="1" applyFill="1" applyBorder="1" applyAlignment="1">
      <alignment horizontal="left" vertical="top" wrapText="1"/>
    </xf>
    <xf numFmtId="0" fontId="12" fillId="0" borderId="53" xfId="0" applyFont="1" applyBorder="1" applyAlignment="1">
      <alignment vertical="top" wrapText="1"/>
    </xf>
    <xf numFmtId="0" fontId="3" fillId="8" borderId="43" xfId="0" applyFont="1" applyFill="1" applyBorder="1" applyAlignment="1">
      <alignment horizontal="left" vertical="top" wrapText="1"/>
    </xf>
    <xf numFmtId="0" fontId="3" fillId="8" borderId="77" xfId="0" applyFont="1" applyFill="1" applyBorder="1" applyAlignment="1">
      <alignment horizontal="left" vertical="top" wrapText="1"/>
    </xf>
    <xf numFmtId="0" fontId="0" fillId="7" borderId="43" xfId="0" applyFill="1" applyBorder="1" applyAlignment="1">
      <alignment horizontal="center" vertical="top" wrapText="1"/>
    </xf>
    <xf numFmtId="0" fontId="6" fillId="0" borderId="16" xfId="0" applyFont="1" applyBorder="1" applyAlignment="1">
      <alignment vertical="top" wrapText="1"/>
    </xf>
    <xf numFmtId="0" fontId="12" fillId="0" borderId="53" xfId="0" applyFont="1" applyBorder="1" applyAlignment="1">
      <alignment horizontal="center" vertical="top" wrapText="1"/>
    </xf>
    <xf numFmtId="0" fontId="16" fillId="7" borderId="91" xfId="0" applyFont="1" applyFill="1" applyBorder="1" applyAlignment="1">
      <alignment horizontal="center" vertical="center"/>
    </xf>
    <xf numFmtId="0" fontId="3" fillId="0" borderId="43" xfId="0" applyFont="1" applyBorder="1" applyAlignment="1">
      <alignment horizontal="left" vertical="top" wrapText="1"/>
    </xf>
    <xf numFmtId="0" fontId="3" fillId="7" borderId="84" xfId="0" applyFont="1" applyFill="1" applyBorder="1" applyAlignment="1">
      <alignment horizontal="left" vertical="top" wrapText="1"/>
    </xf>
    <xf numFmtId="0" fontId="3" fillId="7" borderId="77" xfId="0" applyFont="1" applyFill="1" applyBorder="1" applyAlignment="1">
      <alignment horizontal="left" vertical="top" wrapText="1"/>
    </xf>
    <xf numFmtId="0" fontId="12" fillId="0" borderId="50" xfId="0" applyFont="1" applyBorder="1" applyAlignment="1">
      <alignment wrapText="1"/>
    </xf>
    <xf numFmtId="0" fontId="3" fillId="0" borderId="88" xfId="0" applyFont="1" applyBorder="1" applyAlignment="1">
      <alignment horizontal="center" vertical="top" wrapText="1"/>
    </xf>
    <xf numFmtId="0" fontId="3" fillId="7" borderId="43" xfId="0" applyFont="1" applyFill="1" applyBorder="1" applyAlignment="1">
      <alignment horizontal="center" vertical="top" wrapText="1"/>
    </xf>
    <xf numFmtId="0" fontId="3" fillId="7" borderId="44" xfId="0" applyFont="1" applyFill="1" applyBorder="1" applyAlignment="1">
      <alignment horizontal="center" vertical="top" wrapText="1"/>
    </xf>
    <xf numFmtId="0" fontId="3" fillId="7" borderId="77" xfId="0" applyFont="1" applyFill="1" applyBorder="1" applyAlignment="1">
      <alignment horizontal="center" vertical="top" wrapText="1"/>
    </xf>
    <xf numFmtId="0" fontId="0" fillId="8" borderId="49" xfId="0" applyFill="1" applyBorder="1" applyAlignment="1">
      <alignment horizontal="center" vertical="top" wrapText="1"/>
    </xf>
    <xf numFmtId="0" fontId="0" fillId="4" borderId="43" xfId="0" applyFill="1" applyBorder="1" applyAlignment="1">
      <alignment horizontal="left" vertical="top" wrapText="1"/>
    </xf>
    <xf numFmtId="0" fontId="12" fillId="0" borderId="16" xfId="0" applyFont="1" applyBorder="1" applyAlignment="1">
      <alignment wrapText="1"/>
    </xf>
    <xf numFmtId="0" fontId="12" fillId="0" borderId="32" xfId="0" applyFont="1" applyBorder="1" applyAlignment="1">
      <alignment vertical="center" wrapText="1"/>
    </xf>
    <xf numFmtId="0" fontId="0" fillId="7" borderId="44" xfId="0" applyFill="1" applyBorder="1" applyAlignment="1">
      <alignment horizontal="center" vertical="top" wrapText="1"/>
    </xf>
    <xf numFmtId="0" fontId="6" fillId="0" borderId="53" xfId="0" applyFont="1" applyBorder="1" applyAlignment="1">
      <alignment horizontal="center" vertical="top" wrapText="1"/>
    </xf>
    <xf numFmtId="0" fontId="0" fillId="7" borderId="88" xfId="0" applyFill="1" applyBorder="1" applyAlignment="1">
      <alignment horizontal="left" vertical="top" wrapText="1"/>
    </xf>
    <xf numFmtId="0" fontId="0" fillId="7" borderId="82" xfId="0" applyFill="1" applyBorder="1" applyAlignment="1">
      <alignment horizontal="left" vertical="top" wrapText="1"/>
    </xf>
    <xf numFmtId="0" fontId="12" fillId="0" borderId="53" xfId="0" applyFont="1" applyBorder="1" applyAlignment="1">
      <alignment wrapText="1"/>
    </xf>
    <xf numFmtId="0" fontId="0" fillId="0" borderId="14" xfId="0" applyBorder="1" applyAlignment="1">
      <alignment horizontal="center" vertical="top" wrapText="1"/>
    </xf>
    <xf numFmtId="0" fontId="15" fillId="10" borderId="21" xfId="0" applyFont="1" applyFill="1" applyBorder="1" applyAlignment="1">
      <alignment horizontal="left" vertical="top" wrapText="1"/>
    </xf>
    <xf numFmtId="0" fontId="9" fillId="10" borderId="23" xfId="0" applyFont="1" applyFill="1" applyBorder="1" applyAlignment="1">
      <alignment horizontal="left" vertical="top" wrapText="1"/>
    </xf>
    <xf numFmtId="0" fontId="9" fillId="10" borderId="24" xfId="0" applyFont="1" applyFill="1" applyBorder="1" applyAlignment="1">
      <alignment horizontal="left" vertical="top" wrapText="1"/>
    </xf>
    <xf numFmtId="0" fontId="12" fillId="10" borderId="21" xfId="0" applyFont="1" applyFill="1" applyBorder="1" applyAlignment="1">
      <alignment horizontal="left" vertical="top" wrapText="1"/>
    </xf>
    <xf numFmtId="0" fontId="17" fillId="10" borderId="24" xfId="0" applyFont="1" applyFill="1" applyBorder="1" applyAlignment="1">
      <alignment horizontal="left" vertical="top" wrapText="1"/>
    </xf>
    <xf numFmtId="0" fontId="6" fillId="5" borderId="21" xfId="0" applyFont="1" applyFill="1" applyBorder="1" applyAlignment="1">
      <alignment horizontal="left" vertical="top" wrapText="1"/>
    </xf>
    <xf numFmtId="0" fontId="12" fillId="5" borderId="7" xfId="0" applyFont="1" applyFill="1" applyBorder="1" applyAlignment="1">
      <alignment vertical="top" wrapText="1"/>
    </xf>
    <xf numFmtId="0" fontId="0" fillId="10" borderId="7" xfId="0" applyFill="1" applyBorder="1" applyAlignment="1">
      <alignment vertical="top" wrapText="1"/>
    </xf>
    <xf numFmtId="0" fontId="0" fillId="7" borderId="52" xfId="0" applyFill="1" applyBorder="1" applyAlignment="1">
      <alignment horizontal="center" vertical="center"/>
    </xf>
    <xf numFmtId="0" fontId="3" fillId="7" borderId="42" xfId="0" applyFont="1" applyFill="1" applyBorder="1" applyAlignment="1">
      <alignment horizontal="left" vertical="top" wrapText="1"/>
    </xf>
    <xf numFmtId="0" fontId="0" fillId="4" borderId="15" xfId="0" applyFill="1" applyBorder="1" applyAlignment="1">
      <alignment horizontal="center" vertical="center"/>
    </xf>
    <xf numFmtId="0" fontId="3" fillId="7" borderId="54" xfId="0" applyFont="1" applyFill="1" applyBorder="1" applyAlignment="1">
      <alignment horizontal="left" vertical="top" wrapText="1"/>
    </xf>
    <xf numFmtId="0" fontId="0" fillId="8" borderId="52" xfId="0" applyFill="1" applyBorder="1" applyAlignment="1">
      <alignment horizontal="left" vertical="top" wrapText="1"/>
    </xf>
    <xf numFmtId="0" fontId="0" fillId="0" borderId="50" xfId="0" applyBorder="1" applyAlignment="1">
      <alignment vertical="center" wrapText="1"/>
    </xf>
    <xf numFmtId="0" fontId="3" fillId="7" borderId="52" xfId="0" applyFont="1" applyFill="1" applyBorder="1" applyAlignment="1">
      <alignment horizontal="left" vertical="top" wrapText="1"/>
    </xf>
    <xf numFmtId="0" fontId="3" fillId="7" borderId="13" xfId="0" applyFont="1" applyFill="1" applyBorder="1" applyAlignment="1">
      <alignment horizontal="center" vertical="top" wrapText="1"/>
    </xf>
    <xf numFmtId="0" fontId="3" fillId="7" borderId="15" xfId="0" applyFont="1" applyFill="1" applyBorder="1" applyAlignment="1">
      <alignment horizontal="center" vertical="top" wrapText="1"/>
    </xf>
    <xf numFmtId="0" fontId="3" fillId="7" borderId="17" xfId="0" applyFont="1" applyFill="1" applyBorder="1" applyAlignment="1">
      <alignment horizontal="center" vertical="top" wrapText="1"/>
    </xf>
    <xf numFmtId="0" fontId="3" fillId="7" borderId="42" xfId="0" applyFont="1" applyFill="1" applyBorder="1" applyAlignment="1">
      <alignment horizontal="center" vertical="top" wrapText="1"/>
    </xf>
    <xf numFmtId="0" fontId="0" fillId="8" borderId="51" xfId="0" applyFill="1" applyBorder="1" applyAlignment="1">
      <alignment horizontal="center" vertical="top" wrapText="1"/>
    </xf>
    <xf numFmtId="0" fontId="0" fillId="0" borderId="73" xfId="0" applyBorder="1" applyAlignment="1">
      <alignment vertical="center" wrapText="1"/>
    </xf>
    <xf numFmtId="0" fontId="3" fillId="4" borderId="13" xfId="0" applyFont="1" applyFill="1" applyBorder="1" applyAlignment="1">
      <alignment horizontal="center" vertical="top" wrapText="1"/>
    </xf>
    <xf numFmtId="0" fontId="0" fillId="7" borderId="54" xfId="0" applyFill="1" applyBorder="1" applyAlignment="1">
      <alignment horizontal="center" vertical="top" wrapText="1"/>
    </xf>
    <xf numFmtId="0" fontId="0" fillId="8" borderId="52" xfId="0" applyFill="1" applyBorder="1" applyAlignment="1">
      <alignment horizontal="center" vertical="top" wrapText="1"/>
    </xf>
    <xf numFmtId="0" fontId="0" fillId="4" borderId="13" xfId="0" applyFill="1" applyBorder="1" applyAlignment="1">
      <alignment horizontal="left" vertical="top" wrapText="1"/>
    </xf>
    <xf numFmtId="0" fontId="0" fillId="0" borderId="14" xfId="0" applyBorder="1" applyAlignment="1">
      <alignment vertical="center" wrapText="1"/>
    </xf>
    <xf numFmtId="0" fontId="0" fillId="7" borderId="52" xfId="0" applyFill="1" applyBorder="1" applyAlignment="1">
      <alignment horizontal="left" vertical="top" wrapText="1"/>
    </xf>
    <xf numFmtId="0" fontId="12" fillId="0" borderId="13" xfId="0" applyFont="1" applyBorder="1" applyAlignment="1">
      <alignment horizontal="center" vertical="top" wrapText="1"/>
    </xf>
    <xf numFmtId="0" fontId="0" fillId="0" borderId="13" xfId="0" applyBorder="1" applyAlignment="1">
      <alignment horizontal="center" vertical="top" wrapText="1"/>
    </xf>
    <xf numFmtId="0" fontId="0" fillId="0" borderId="57" xfId="0" applyBorder="1" applyAlignment="1">
      <alignment horizontal="center" vertical="top" wrapText="1"/>
    </xf>
    <xf numFmtId="0" fontId="0" fillId="0" borderId="13" xfId="0" applyBorder="1" applyAlignment="1">
      <alignment vertical="top" wrapText="1"/>
    </xf>
    <xf numFmtId="0" fontId="0" fillId="0" borderId="57" xfId="0" applyBorder="1" applyAlignment="1">
      <alignment vertical="top" wrapText="1"/>
    </xf>
    <xf numFmtId="0" fontId="0" fillId="5" borderId="7" xfId="0" applyFill="1" applyBorder="1" applyAlignment="1">
      <alignment vertical="top" wrapText="1"/>
    </xf>
    <xf numFmtId="164" fontId="3" fillId="0" borderId="75" xfId="0" applyNumberFormat="1" applyFont="1" applyBorder="1" applyAlignment="1">
      <alignment horizontal="center" vertical="top" wrapText="1"/>
    </xf>
    <xf numFmtId="164" fontId="3" fillId="0" borderId="4" xfId="0" applyNumberFormat="1" applyFont="1" applyBorder="1" applyAlignment="1">
      <alignment horizontal="center" vertical="top" wrapText="1"/>
    </xf>
    <xf numFmtId="164" fontId="3" fillId="0" borderId="74" xfId="0" applyNumberFormat="1" applyFont="1" applyBorder="1" applyAlignment="1">
      <alignment horizontal="center" vertical="top" wrapText="1"/>
    </xf>
    <xf numFmtId="0" fontId="12" fillId="0" borderId="42" xfId="0" applyFont="1" applyBorder="1" applyAlignment="1">
      <alignment horizontal="center" vertical="top"/>
    </xf>
    <xf numFmtId="0" fontId="12" fillId="0" borderId="45" xfId="0" applyFont="1" applyBorder="1" applyAlignment="1">
      <alignment horizontal="center" vertical="top"/>
    </xf>
    <xf numFmtId="164" fontId="12" fillId="0" borderId="45" xfId="0" applyNumberFormat="1" applyFont="1" applyBorder="1" applyAlignment="1">
      <alignment vertical="top"/>
    </xf>
    <xf numFmtId="164" fontId="12" fillId="0" borderId="46" xfId="0" applyNumberFormat="1" applyFont="1" applyBorder="1" applyAlignment="1">
      <alignment vertical="top"/>
    </xf>
    <xf numFmtId="164" fontId="12" fillId="0" borderId="47" xfId="0" applyNumberFormat="1" applyFont="1" applyBorder="1" applyAlignment="1">
      <alignment vertical="top"/>
    </xf>
    <xf numFmtId="0" fontId="12" fillId="0" borderId="45" xfId="0" applyFont="1" applyBorder="1" applyAlignment="1">
      <alignment vertical="top"/>
    </xf>
    <xf numFmtId="0" fontId="12" fillId="5" borderId="12" xfId="0" applyFont="1" applyFill="1" applyBorder="1" applyAlignment="1">
      <alignment vertical="top" wrapText="1"/>
    </xf>
    <xf numFmtId="0" fontId="12" fillId="0" borderId="18" xfId="0" applyFont="1" applyBorder="1" applyAlignment="1">
      <alignment vertical="top"/>
    </xf>
    <xf numFmtId="0" fontId="12" fillId="0" borderId="47" xfId="0" applyFont="1" applyBorder="1" applyAlignment="1">
      <alignment vertical="top"/>
    </xf>
    <xf numFmtId="0" fontId="3" fillId="3" borderId="38" xfId="0" applyFont="1" applyFill="1" applyBorder="1" applyAlignment="1">
      <alignment horizontal="left" vertical="top" wrapText="1"/>
    </xf>
    <xf numFmtId="0" fontId="20" fillId="3" borderId="31" xfId="0" applyFont="1" applyFill="1" applyBorder="1" applyAlignment="1">
      <alignment horizontal="left" vertical="top" wrapText="1"/>
    </xf>
    <xf numFmtId="0" fontId="7" fillId="0" borderId="49" xfId="1" applyBorder="1"/>
    <xf numFmtId="0" fontId="6" fillId="0" borderId="18" xfId="0" applyFont="1" applyBorder="1" applyAlignment="1">
      <alignment horizontal="center" vertical="center" wrapText="1"/>
    </xf>
    <xf numFmtId="0" fontId="12" fillId="0" borderId="54" xfId="0" applyFont="1" applyBorder="1" applyAlignment="1">
      <alignment horizontal="left" vertical="top" wrapText="1"/>
    </xf>
    <xf numFmtId="0" fontId="6" fillId="0" borderId="7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84" xfId="0" applyFont="1" applyBorder="1" applyAlignment="1">
      <alignment horizontal="left" vertical="top" wrapText="1"/>
    </xf>
    <xf numFmtId="0" fontId="6" fillId="0" borderId="82" xfId="0" applyFont="1" applyBorder="1" applyAlignment="1">
      <alignment horizontal="left" vertical="top" wrapText="1"/>
    </xf>
    <xf numFmtId="0" fontId="3" fillId="0" borderId="53" xfId="0" applyFont="1" applyBorder="1" applyAlignment="1">
      <alignment horizontal="left" vertical="top" wrapText="1"/>
    </xf>
    <xf numFmtId="0" fontId="3" fillId="0" borderId="96" xfId="0" applyFont="1" applyBorder="1" applyAlignment="1">
      <alignment horizontal="left" vertical="top" wrapText="1"/>
    </xf>
    <xf numFmtId="0" fontId="3" fillId="5" borderId="12" xfId="0" applyFont="1" applyFill="1" applyBorder="1" applyAlignment="1">
      <alignment horizontal="left" vertical="top" wrapText="1"/>
    </xf>
    <xf numFmtId="0" fontId="3" fillId="5" borderId="24" xfId="0" applyFont="1" applyFill="1" applyBorder="1" applyAlignment="1">
      <alignment horizontal="left" vertical="top" wrapText="1"/>
    </xf>
    <xf numFmtId="0" fontId="12" fillId="0" borderId="55" xfId="0" applyFont="1" applyBorder="1" applyAlignment="1">
      <alignment horizontal="left" vertical="top" wrapText="1"/>
    </xf>
    <xf numFmtId="164" fontId="12" fillId="0" borderId="47" xfId="0" applyNumberFormat="1" applyFont="1" applyBorder="1" applyAlignment="1">
      <alignment horizontal="center" vertical="top" wrapText="1"/>
    </xf>
    <xf numFmtId="0" fontId="3" fillId="0" borderId="81" xfId="0" applyFont="1" applyBorder="1" applyAlignment="1">
      <alignment horizontal="left" vertical="top" wrapText="1"/>
    </xf>
    <xf numFmtId="0" fontId="3" fillId="0" borderId="47" xfId="0" applyFont="1" applyBorder="1" applyAlignment="1">
      <alignment horizontal="left" vertical="top" wrapText="1"/>
    </xf>
    <xf numFmtId="0" fontId="21" fillId="0" borderId="56" xfId="1" applyFont="1" applyBorder="1" applyAlignment="1">
      <alignment vertical="top" wrapText="1"/>
    </xf>
    <xf numFmtId="0" fontId="12" fillId="3" borderId="6" xfId="0" applyFont="1" applyFill="1" applyBorder="1" applyAlignment="1">
      <alignment horizontal="left" vertical="top" wrapText="1"/>
    </xf>
    <xf numFmtId="0" fontId="12" fillId="3" borderId="6" xfId="0" applyFont="1" applyFill="1" applyBorder="1" applyAlignment="1">
      <alignment wrapText="1"/>
    </xf>
    <xf numFmtId="0" fontId="12" fillId="3" borderId="6" xfId="0" applyFont="1" applyFill="1" applyBorder="1" applyAlignment="1">
      <alignment vertical="top" wrapText="1"/>
    </xf>
    <xf numFmtId="0" fontId="21" fillId="0" borderId="49" xfId="1" applyFont="1" applyBorder="1" applyAlignment="1">
      <alignment vertical="top" wrapText="1"/>
    </xf>
    <xf numFmtId="0" fontId="6" fillId="3" borderId="27" xfId="0" applyFont="1" applyFill="1" applyBorder="1" applyAlignment="1">
      <alignment horizontal="left" vertical="top" wrapText="1"/>
    </xf>
    <xf numFmtId="0" fontId="6" fillId="0" borderId="17" xfId="0" applyFont="1" applyBorder="1" applyAlignment="1">
      <alignment horizontal="center" vertical="top" wrapText="1"/>
    </xf>
    <xf numFmtId="0" fontId="6" fillId="0" borderId="57" xfId="0" applyFont="1" applyBorder="1" applyAlignment="1">
      <alignment horizontal="left" vertical="top" wrapText="1"/>
    </xf>
    <xf numFmtId="0" fontId="6" fillId="0" borderId="58" xfId="0" applyFont="1" applyBorder="1" applyAlignment="1">
      <alignment horizontal="left" vertical="top" wrapText="1"/>
    </xf>
    <xf numFmtId="0" fontId="6" fillId="0" borderId="59" xfId="0" applyFont="1" applyBorder="1" applyAlignment="1">
      <alignment horizontal="left" vertical="top"/>
    </xf>
    <xf numFmtId="0" fontId="6" fillId="10" borderId="71" xfId="0" applyFont="1" applyFill="1" applyBorder="1" applyAlignment="1">
      <alignment horizontal="left" vertical="top" wrapText="1"/>
    </xf>
    <xf numFmtId="0" fontId="4" fillId="0" borderId="42" xfId="0" applyFont="1" applyBorder="1" applyAlignment="1">
      <alignment horizontal="center" vertical="top" wrapText="1"/>
    </xf>
    <xf numFmtId="0" fontId="0" fillId="0" borderId="62" xfId="0" applyBorder="1" applyAlignment="1">
      <alignment horizontal="center" vertical="top" wrapText="1"/>
    </xf>
    <xf numFmtId="0" fontId="6" fillId="0" borderId="85" xfId="0" applyFont="1" applyBorder="1" applyAlignment="1">
      <alignment horizontal="left" vertical="top" wrapText="1"/>
    </xf>
    <xf numFmtId="0" fontId="6" fillId="0" borderId="59" xfId="0" applyFont="1" applyBorder="1" applyAlignment="1">
      <alignment horizontal="left" vertical="top" wrapText="1"/>
    </xf>
    <xf numFmtId="0" fontId="3" fillId="5" borderId="23" xfId="0" applyFont="1" applyFill="1" applyBorder="1" applyAlignment="1">
      <alignment horizontal="left" vertical="top" wrapText="1"/>
    </xf>
    <xf numFmtId="0" fontId="3" fillId="5" borderId="11" xfId="0" applyFont="1" applyFill="1" applyBorder="1" applyAlignment="1">
      <alignment horizontal="left" vertical="top" wrapText="1"/>
    </xf>
    <xf numFmtId="0" fontId="0" fillId="0" borderId="54" xfId="0" applyBorder="1" applyAlignment="1">
      <alignment horizontal="center" vertical="top" wrapText="1"/>
    </xf>
    <xf numFmtId="0" fontId="19" fillId="3" borderId="38"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15" xfId="0" applyFont="1" applyBorder="1" applyAlignment="1">
      <alignment horizontal="center" vertical="top" wrapText="1"/>
    </xf>
    <xf numFmtId="0" fontId="6" fillId="3" borderId="60" xfId="0" applyFont="1" applyFill="1" applyBorder="1" applyAlignment="1">
      <alignment horizontal="left" vertical="top" wrapText="1"/>
    </xf>
    <xf numFmtId="0" fontId="3" fillId="3" borderId="60" xfId="0" applyFont="1" applyFill="1" applyBorder="1" applyAlignment="1">
      <alignment horizontal="left" vertical="top" wrapText="1"/>
    </xf>
    <xf numFmtId="0" fontId="7" fillId="0" borderId="17" xfId="1" applyFill="1" applyBorder="1" applyAlignment="1">
      <alignment horizontal="left" vertical="top" wrapText="1"/>
    </xf>
    <xf numFmtId="0" fontId="6" fillId="0" borderId="46" xfId="0" applyFont="1" applyBorder="1" applyAlignment="1">
      <alignment horizontal="center" vertical="top" wrapText="1"/>
    </xf>
    <xf numFmtId="0" fontId="6" fillId="0" borderId="47" xfId="0" applyFont="1" applyBorder="1" applyAlignment="1">
      <alignment horizontal="center" vertical="top" wrapText="1"/>
    </xf>
    <xf numFmtId="0" fontId="12" fillId="3" borderId="39" xfId="0" applyFont="1" applyFill="1" applyBorder="1" applyAlignment="1">
      <alignment horizontal="left" vertical="top" wrapText="1"/>
    </xf>
    <xf numFmtId="0" fontId="12" fillId="11" borderId="26" xfId="0" applyFont="1" applyFill="1" applyBorder="1" applyAlignment="1">
      <alignment vertical="top" wrapText="1"/>
    </xf>
    <xf numFmtId="0" fontId="12" fillId="11" borderId="25" xfId="0" applyFont="1" applyFill="1" applyBorder="1" applyAlignment="1">
      <alignment horizontal="left" vertical="top" wrapText="1"/>
    </xf>
    <xf numFmtId="0" fontId="12" fillId="11" borderId="31" xfId="0" applyFont="1" applyFill="1" applyBorder="1" applyAlignment="1">
      <alignment horizontal="left" vertical="top" wrapText="1"/>
    </xf>
    <xf numFmtId="0" fontId="6" fillId="0" borderId="51" xfId="0" applyFont="1" applyBorder="1" applyAlignment="1">
      <alignment horizontal="left" vertical="center" wrapText="1"/>
    </xf>
    <xf numFmtId="0" fontId="0" fillId="0" borderId="51" xfId="0" applyBorder="1" applyAlignment="1">
      <alignment vertical="center" wrapText="1"/>
    </xf>
    <xf numFmtId="0" fontId="12" fillId="0" borderId="18" xfId="0" applyFont="1" applyBorder="1" applyAlignment="1">
      <alignment vertical="center" wrapText="1"/>
    </xf>
    <xf numFmtId="0" fontId="12" fillId="0" borderId="52" xfId="0" applyFont="1" applyBorder="1" applyAlignment="1">
      <alignment vertical="center" wrapText="1"/>
    </xf>
    <xf numFmtId="0" fontId="0" fillId="0" borderId="54" xfId="0" applyBorder="1" applyAlignment="1">
      <alignment vertical="center" wrapText="1"/>
    </xf>
    <xf numFmtId="0" fontId="0" fillId="0" borderId="75" xfId="0" applyBorder="1" applyAlignment="1">
      <alignment vertical="center" wrapText="1"/>
    </xf>
    <xf numFmtId="0" fontId="12" fillId="0" borderId="76" xfId="0" applyFont="1" applyBorder="1" applyAlignment="1">
      <alignment vertical="top" wrapText="1"/>
    </xf>
    <xf numFmtId="0" fontId="12" fillId="0" borderId="73" xfId="0" applyFont="1" applyBorder="1" applyAlignment="1">
      <alignment wrapText="1"/>
    </xf>
    <xf numFmtId="0" fontId="0" fillId="0" borderId="17" xfId="0" applyBorder="1" applyAlignment="1">
      <alignment vertical="top" wrapText="1"/>
    </xf>
    <xf numFmtId="0" fontId="12" fillId="0" borderId="41" xfId="0" applyFont="1" applyBorder="1" applyAlignment="1">
      <alignment vertical="center" wrapText="1"/>
    </xf>
    <xf numFmtId="0" fontId="12" fillId="0" borderId="47" xfId="0" applyFont="1" applyBorder="1" applyAlignment="1">
      <alignment wrapText="1"/>
    </xf>
    <xf numFmtId="0" fontId="17" fillId="10" borderId="12" xfId="0" applyFont="1" applyFill="1" applyBorder="1" applyAlignment="1">
      <alignment horizontal="left" vertical="top" wrapText="1"/>
    </xf>
    <xf numFmtId="0" fontId="6" fillId="0" borderId="50" xfId="0" applyFont="1" applyBorder="1" applyAlignment="1">
      <alignment horizontal="left" vertical="center" wrapText="1"/>
    </xf>
    <xf numFmtId="0" fontId="12" fillId="0" borderId="53" xfId="0" applyFont="1" applyBorder="1" applyAlignment="1">
      <alignment vertical="center" wrapText="1"/>
    </xf>
    <xf numFmtId="0" fontId="0" fillId="0" borderId="55" xfId="0" applyBorder="1" applyAlignment="1">
      <alignment vertical="center" wrapText="1"/>
    </xf>
    <xf numFmtId="0" fontId="0" fillId="0" borderId="74" xfId="0" applyBorder="1" applyAlignment="1">
      <alignment vertical="center" wrapText="1"/>
    </xf>
    <xf numFmtId="0" fontId="0" fillId="0" borderId="18" xfId="0" applyBorder="1" applyAlignment="1">
      <alignment vertical="top" wrapText="1"/>
    </xf>
    <xf numFmtId="0" fontId="0" fillId="0" borderId="46" xfId="0" applyBorder="1" applyAlignment="1">
      <alignment horizontal="left" vertical="top" wrapText="1"/>
    </xf>
    <xf numFmtId="0" fontId="6" fillId="10" borderId="11" xfId="0" applyFont="1" applyFill="1" applyBorder="1" applyAlignment="1">
      <alignment vertical="top" wrapText="1"/>
    </xf>
    <xf numFmtId="0" fontId="0" fillId="0" borderId="76" xfId="0" applyBorder="1" applyAlignment="1">
      <alignment horizontal="center" vertical="top" wrapText="1"/>
    </xf>
    <xf numFmtId="0" fontId="6" fillId="0" borderId="15" xfId="0" applyFont="1" applyBorder="1" applyAlignment="1">
      <alignment vertical="top" wrapText="1"/>
    </xf>
    <xf numFmtId="0" fontId="3" fillId="3" borderId="25" xfId="0" applyFont="1" applyFill="1" applyBorder="1" applyAlignment="1">
      <alignment vertical="top" wrapText="1"/>
    </xf>
    <xf numFmtId="0" fontId="6" fillId="0" borderId="75" xfId="0" applyFont="1" applyBorder="1" applyAlignment="1">
      <alignment horizontal="left" vertical="top" wrapText="1"/>
    </xf>
    <xf numFmtId="0" fontId="12" fillId="0" borderId="76" xfId="0" applyFont="1" applyBorder="1" applyAlignment="1">
      <alignment horizontal="left" vertical="top" wrapText="1"/>
    </xf>
    <xf numFmtId="0" fontId="0" fillId="0" borderId="51" xfId="0" applyBorder="1" applyAlignment="1">
      <alignment vertical="top" wrapText="1"/>
    </xf>
    <xf numFmtId="0" fontId="12" fillId="0" borderId="50" xfId="0" applyFont="1" applyBorder="1" applyAlignment="1">
      <alignment horizontal="center"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0" fillId="0" borderId="62" xfId="0" applyBorder="1" applyAlignment="1">
      <alignment vertical="top" wrapText="1"/>
    </xf>
    <xf numFmtId="0" fontId="12" fillId="0" borderId="64" xfId="0" applyFont="1" applyBorder="1" applyAlignment="1">
      <alignment wrapText="1"/>
    </xf>
    <xf numFmtId="0" fontId="6" fillId="5" borderId="12" xfId="0" applyFont="1" applyFill="1" applyBorder="1" applyAlignment="1">
      <alignment vertical="top" wrapText="1"/>
    </xf>
    <xf numFmtId="0" fontId="12" fillId="0" borderId="100" xfId="0" applyFont="1" applyBorder="1" applyAlignment="1">
      <alignment vertical="top" wrapText="1"/>
    </xf>
    <xf numFmtId="0" fontId="0" fillId="3" borderId="25" xfId="0" applyFill="1" applyBorder="1" applyAlignment="1">
      <alignment horizontal="left" vertical="top" wrapText="1"/>
    </xf>
    <xf numFmtId="0" fontId="0" fillId="0" borderId="37" xfId="0" applyBorder="1" applyAlignment="1">
      <alignment horizontal="left" vertical="top"/>
    </xf>
    <xf numFmtId="0" fontId="12" fillId="3" borderId="15"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42" xfId="0" applyFont="1" applyFill="1" applyBorder="1" applyAlignment="1">
      <alignment horizontal="left" vertical="top" wrapText="1"/>
    </xf>
    <xf numFmtId="0" fontId="12" fillId="3" borderId="13" xfId="0" applyFont="1" applyFill="1" applyBorder="1" applyAlignment="1">
      <alignment horizontal="left" vertical="top" wrapText="1"/>
    </xf>
    <xf numFmtId="0" fontId="0" fillId="0" borderId="101" xfId="0" applyBorder="1" applyAlignment="1">
      <alignment horizontal="left" vertical="top"/>
    </xf>
    <xf numFmtId="0" fontId="40" fillId="0" borderId="0" xfId="0" applyFont="1"/>
    <xf numFmtId="0" fontId="7" fillId="0" borderId="18" xfId="1" applyBorder="1" applyAlignment="1">
      <alignment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3" fillId="0" borderId="14" xfId="0" applyFont="1" applyBorder="1" applyAlignment="1">
      <alignment horizontal="left" vertical="top"/>
    </xf>
    <xf numFmtId="0" fontId="6" fillId="0" borderId="26" xfId="0" applyFont="1" applyBorder="1" applyAlignment="1">
      <alignment horizontal="center" vertical="top" wrapText="1"/>
    </xf>
    <xf numFmtId="0" fontId="6" fillId="0" borderId="31" xfId="0" applyFont="1" applyBorder="1" applyAlignment="1">
      <alignment horizontal="center" vertical="top" wrapText="1"/>
    </xf>
    <xf numFmtId="0" fontId="0" fillId="7" borderId="75" xfId="0" applyFill="1" applyBorder="1" applyAlignment="1">
      <alignment horizontal="center" vertical="center"/>
    </xf>
    <xf numFmtId="0" fontId="0" fillId="0" borderId="15" xfId="0" applyBorder="1" applyAlignment="1">
      <alignment horizontal="center" vertical="center"/>
    </xf>
    <xf numFmtId="0" fontId="16" fillId="0" borderId="17" xfId="0" applyFont="1" applyBorder="1" applyAlignment="1">
      <alignment horizontal="center" vertical="center"/>
    </xf>
    <xf numFmtId="0" fontId="0" fillId="4" borderId="15" xfId="0" applyFill="1" applyBorder="1" applyAlignment="1">
      <alignment horizontal="center" vertical="top" wrapText="1"/>
    </xf>
    <xf numFmtId="0" fontId="6" fillId="7" borderId="15" xfId="0" applyFont="1" applyFill="1" applyBorder="1" applyAlignment="1">
      <alignment horizontal="left" vertical="top" wrapText="1"/>
    </xf>
    <xf numFmtId="0" fontId="12" fillId="7" borderId="17" xfId="0" applyFont="1" applyFill="1" applyBorder="1" applyAlignment="1">
      <alignment wrapText="1"/>
    </xf>
    <xf numFmtId="0" fontId="3" fillId="4" borderId="54" xfId="0" applyFont="1" applyFill="1" applyBorder="1" applyAlignment="1">
      <alignment horizontal="center" vertical="top" wrapText="1"/>
    </xf>
    <xf numFmtId="0" fontId="3" fillId="4" borderId="42" xfId="0" applyFont="1" applyFill="1" applyBorder="1" applyAlignment="1">
      <alignment horizontal="center" vertical="top" wrapText="1"/>
    </xf>
    <xf numFmtId="0" fontId="6" fillId="0" borderId="7" xfId="0" applyFont="1" applyBorder="1" applyAlignment="1">
      <alignment horizontal="left" vertical="center" wrapText="1"/>
    </xf>
    <xf numFmtId="0" fontId="0" fillId="7" borderId="7" xfId="0" applyFill="1" applyBorder="1" applyAlignment="1">
      <alignment horizontal="left" vertical="top" wrapText="1"/>
    </xf>
    <xf numFmtId="0" fontId="0" fillId="7" borderId="13" xfId="0" applyFill="1" applyBorder="1" applyAlignment="1">
      <alignment horizontal="left" vertical="top" wrapText="1"/>
    </xf>
    <xf numFmtId="0" fontId="3" fillId="4" borderId="19" xfId="0" applyFont="1" applyFill="1" applyBorder="1" applyAlignment="1">
      <alignment horizontal="center" vertical="top" wrapText="1"/>
    </xf>
    <xf numFmtId="0" fontId="3" fillId="4" borderId="82" xfId="0" applyFont="1" applyFill="1" applyBorder="1" applyAlignment="1">
      <alignment horizontal="center" vertical="top" wrapText="1"/>
    </xf>
    <xf numFmtId="0" fontId="0" fillId="7" borderId="73" xfId="0" applyFill="1" applyBorder="1" applyAlignment="1">
      <alignment horizontal="center" vertical="top" wrapText="1"/>
    </xf>
    <xf numFmtId="0" fontId="6" fillId="8" borderId="51" xfId="0" applyFont="1" applyFill="1" applyBorder="1" applyAlignment="1">
      <alignment horizontal="left" vertical="top" wrapText="1"/>
    </xf>
    <xf numFmtId="0" fontId="6" fillId="0" borderId="73" xfId="0" applyFont="1" applyBorder="1" applyAlignment="1">
      <alignment horizontal="left" vertical="top"/>
    </xf>
    <xf numFmtId="0" fontId="6" fillId="0" borderId="49" xfId="0" applyFont="1" applyBorder="1" applyAlignment="1">
      <alignment horizontal="left" vertical="top"/>
    </xf>
    <xf numFmtId="0" fontId="0" fillId="4" borderId="1" xfId="0" applyFill="1" applyBorder="1" applyAlignment="1">
      <alignment horizontal="center" vertical="top" wrapText="1"/>
    </xf>
    <xf numFmtId="0" fontId="0" fillId="7" borderId="88" xfId="0" applyFill="1" applyBorder="1" applyAlignment="1">
      <alignment horizontal="center" vertical="top" wrapText="1"/>
    </xf>
    <xf numFmtId="0" fontId="0" fillId="4" borderId="13" xfId="0" applyFill="1" applyBorder="1" applyAlignment="1">
      <alignment horizontal="center" vertical="top" wrapText="1"/>
    </xf>
    <xf numFmtId="0" fontId="6" fillId="7" borderId="13" xfId="0" applyFont="1" applyFill="1" applyBorder="1" applyAlignment="1">
      <alignment horizontal="left" vertical="top" wrapText="1"/>
    </xf>
    <xf numFmtId="0" fontId="6" fillId="4" borderId="15" xfId="0" applyFont="1" applyFill="1" applyBorder="1" applyAlignment="1">
      <alignment horizontal="left" vertical="top" wrapText="1"/>
    </xf>
    <xf numFmtId="0" fontId="0" fillId="4" borderId="42" xfId="0" applyFill="1" applyBorder="1" applyAlignment="1">
      <alignment horizontal="center" vertical="top" wrapText="1"/>
    </xf>
    <xf numFmtId="164" fontId="12" fillId="0" borderId="14" xfId="0" applyNumberFormat="1" applyFont="1" applyBorder="1" applyAlignment="1">
      <alignment horizontal="center" vertical="top" wrapText="1"/>
    </xf>
    <xf numFmtId="0" fontId="21" fillId="0" borderId="56" xfId="1" applyFont="1" applyBorder="1" applyAlignment="1">
      <alignment horizontal="left" vertical="top" wrapText="1"/>
    </xf>
    <xf numFmtId="0" fontId="0" fillId="7" borderId="15" xfId="0" applyFill="1" applyBorder="1" applyAlignment="1">
      <alignment horizontal="center" vertical="top" wrapText="1"/>
    </xf>
    <xf numFmtId="0" fontId="0" fillId="4" borderId="17" xfId="0" applyFill="1" applyBorder="1" applyAlignment="1">
      <alignment horizontal="center" vertical="top" wrapText="1"/>
    </xf>
    <xf numFmtId="0" fontId="6" fillId="7" borderId="17" xfId="0" applyFont="1" applyFill="1" applyBorder="1" applyAlignment="1">
      <alignment horizontal="left" vertical="top" wrapText="1"/>
    </xf>
    <xf numFmtId="0" fontId="12" fillId="7" borderId="54" xfId="0" applyFont="1" applyFill="1" applyBorder="1" applyAlignment="1">
      <alignment horizontal="left" vertical="top" wrapText="1"/>
    </xf>
    <xf numFmtId="0" fontId="3" fillId="4" borderId="17" xfId="0" applyFont="1" applyFill="1" applyBorder="1" applyAlignment="1">
      <alignment horizontal="center" vertical="top" wrapText="1"/>
    </xf>
    <xf numFmtId="0" fontId="12" fillId="7" borderId="15" xfId="0" applyFont="1" applyFill="1" applyBorder="1" applyAlignment="1">
      <alignment vertical="top" wrapText="1"/>
    </xf>
    <xf numFmtId="0" fontId="0" fillId="7" borderId="13" xfId="0" applyFill="1" applyBorder="1" applyAlignment="1">
      <alignment horizontal="center" vertical="top" wrapText="1"/>
    </xf>
    <xf numFmtId="0" fontId="12" fillId="7" borderId="13" xfId="0" applyFont="1" applyFill="1" applyBorder="1" applyAlignment="1">
      <alignment vertical="top" wrapText="1"/>
    </xf>
    <xf numFmtId="0" fontId="12" fillId="7" borderId="17" xfId="0" applyFont="1" applyFill="1" applyBorder="1" applyAlignment="1">
      <alignment vertical="top" wrapText="1"/>
    </xf>
    <xf numFmtId="0" fontId="21" fillId="0" borderId="94" xfId="1" applyFont="1" applyBorder="1" applyAlignment="1">
      <alignment vertical="top" wrapText="1"/>
    </xf>
    <xf numFmtId="0" fontId="0" fillId="7" borderId="16" xfId="0" applyFill="1" applyBorder="1" applyAlignment="1">
      <alignment horizontal="center" vertical="top" wrapText="1"/>
    </xf>
    <xf numFmtId="0" fontId="0" fillId="7" borderId="32" xfId="0" applyFill="1" applyBorder="1" applyAlignment="1">
      <alignment horizontal="center" vertical="top" wrapText="1"/>
    </xf>
    <xf numFmtId="0" fontId="21" fillId="8" borderId="77" xfId="1" applyFont="1" applyFill="1" applyBorder="1" applyAlignment="1">
      <alignment vertical="top" wrapText="1"/>
    </xf>
    <xf numFmtId="0" fontId="12" fillId="10" borderId="23" xfId="0" applyFont="1" applyFill="1" applyBorder="1" applyAlignment="1">
      <alignment horizontal="left" vertical="top" wrapText="1"/>
    </xf>
    <xf numFmtId="0" fontId="12" fillId="3" borderId="34" xfId="0" applyFont="1" applyFill="1" applyBorder="1" applyAlignment="1">
      <alignment horizontal="left" vertical="top" wrapText="1"/>
    </xf>
    <xf numFmtId="0" fontId="16" fillId="4" borderId="15" xfId="0" applyFont="1" applyFill="1" applyBorder="1" applyAlignment="1">
      <alignment horizontal="center" vertical="top" wrapText="1"/>
    </xf>
    <xf numFmtId="0" fontId="0" fillId="7" borderId="52" xfId="0" applyFill="1" applyBorder="1" applyAlignment="1">
      <alignment horizontal="center" vertical="top" wrapText="1"/>
    </xf>
    <xf numFmtId="0" fontId="0" fillId="4" borderId="52" xfId="0" applyFill="1" applyBorder="1" applyAlignment="1">
      <alignment horizontal="center" vertical="top" wrapText="1"/>
    </xf>
    <xf numFmtId="0" fontId="0" fillId="8" borderId="17" xfId="0" applyFill="1" applyBorder="1"/>
    <xf numFmtId="0" fontId="12" fillId="7" borderId="17" xfId="0" applyFont="1" applyFill="1" applyBorder="1" applyAlignment="1">
      <alignment vertical="top"/>
    </xf>
    <xf numFmtId="0" fontId="0" fillId="8" borderId="42" xfId="0" applyFill="1" applyBorder="1"/>
    <xf numFmtId="0" fontId="12" fillId="7" borderId="42" xfId="0" applyFont="1" applyFill="1" applyBorder="1" applyAlignment="1">
      <alignment vertical="top"/>
    </xf>
    <xf numFmtId="0" fontId="12" fillId="7" borderId="17" xfId="0" applyFont="1" applyFill="1" applyBorder="1" applyAlignment="1">
      <alignment horizontal="center" vertical="top"/>
    </xf>
    <xf numFmtId="0" fontId="12" fillId="4" borderId="17" xfId="0" applyFont="1" applyFill="1" applyBorder="1" applyAlignment="1">
      <alignment horizontal="center" vertical="top"/>
    </xf>
    <xf numFmtId="0" fontId="12" fillId="8" borderId="17" xfId="0" applyFont="1" applyFill="1" applyBorder="1" applyAlignment="1">
      <alignment vertical="top" wrapText="1"/>
    </xf>
    <xf numFmtId="0" fontId="12" fillId="7" borderId="13" xfId="0" applyFont="1" applyFill="1" applyBorder="1" applyAlignment="1">
      <alignment horizontal="center" vertical="top" wrapText="1"/>
    </xf>
    <xf numFmtId="0" fontId="12" fillId="8" borderId="13" xfId="0" applyFont="1" applyFill="1" applyBorder="1" applyAlignment="1">
      <alignment vertical="top" wrapText="1"/>
    </xf>
    <xf numFmtId="0" fontId="12" fillId="0" borderId="1" xfId="0" applyFont="1" applyBorder="1" applyAlignment="1">
      <alignment horizontal="center" vertical="top" wrapText="1"/>
    </xf>
    <xf numFmtId="0" fontId="12" fillId="0" borderId="14" xfId="0" applyFont="1" applyBorder="1" applyAlignment="1">
      <alignment horizontal="center" vertical="top" wrapText="1"/>
    </xf>
    <xf numFmtId="0" fontId="12" fillId="0" borderId="1" xfId="0" applyFont="1" applyBorder="1" applyAlignment="1">
      <alignment horizontal="left" vertical="top" wrapText="1"/>
    </xf>
    <xf numFmtId="0" fontId="0" fillId="0" borderId="71" xfId="0" applyBorder="1" applyAlignment="1">
      <alignment wrapText="1"/>
    </xf>
    <xf numFmtId="0" fontId="12" fillId="8" borderId="13" xfId="0" applyFont="1" applyFill="1" applyBorder="1" applyAlignment="1">
      <alignment horizontal="center" vertical="top" wrapText="1"/>
    </xf>
    <xf numFmtId="0" fontId="12" fillId="12" borderId="7" xfId="0" applyFont="1" applyFill="1" applyBorder="1" applyAlignment="1">
      <alignment vertical="top" wrapText="1"/>
    </xf>
    <xf numFmtId="0" fontId="12" fillId="3" borderId="9" xfId="0" applyFont="1" applyFill="1" applyBorder="1" applyAlignment="1">
      <alignment horizontal="left" vertical="top" wrapText="1"/>
    </xf>
    <xf numFmtId="0" fontId="12" fillId="3" borderId="10" xfId="0" applyFont="1" applyFill="1" applyBorder="1" applyAlignment="1">
      <alignment horizontal="left" vertical="top" wrapText="1"/>
    </xf>
    <xf numFmtId="0" fontId="6" fillId="0" borderId="18" xfId="0" quotePrefix="1" applyFont="1" applyBorder="1" applyAlignment="1">
      <alignment horizontal="left" vertical="top" wrapText="1"/>
    </xf>
    <xf numFmtId="0" fontId="4" fillId="6" borderId="0" xfId="0" applyFont="1" applyFill="1" applyAlignment="1">
      <alignment horizontal="center" vertical="top" wrapText="1"/>
    </xf>
    <xf numFmtId="0" fontId="12" fillId="0" borderId="64" xfId="0" applyFont="1" applyBorder="1" applyAlignment="1">
      <alignment vertical="top" wrapText="1"/>
    </xf>
    <xf numFmtId="0" fontId="46" fillId="0" borderId="0" xfId="0" applyFont="1" applyAlignment="1">
      <alignment vertical="top"/>
    </xf>
    <xf numFmtId="0" fontId="46" fillId="0" borderId="0" xfId="0" applyFont="1" applyAlignment="1">
      <alignment horizontal="left" vertical="top" wrapText="1"/>
    </xf>
    <xf numFmtId="164" fontId="12" fillId="0" borderId="15" xfId="0" applyNumberFormat="1" applyFont="1" applyBorder="1" applyAlignment="1">
      <alignment horizontal="center" vertical="top" wrapText="1"/>
    </xf>
    <xf numFmtId="164" fontId="12" fillId="0" borderId="2" xfId="0" applyNumberFormat="1" applyFont="1" applyBorder="1" applyAlignment="1">
      <alignment horizontal="center" vertical="top" wrapText="1"/>
    </xf>
    <xf numFmtId="0" fontId="21" fillId="0" borderId="18" xfId="1" applyFont="1" applyFill="1" applyBorder="1" applyAlignment="1">
      <alignment horizontal="left" vertical="top" wrapText="1"/>
    </xf>
    <xf numFmtId="0" fontId="21" fillId="0" borderId="18" xfId="1" applyFont="1" applyBorder="1" applyAlignment="1">
      <alignment vertical="top" wrapText="1"/>
    </xf>
    <xf numFmtId="0" fontId="21" fillId="0" borderId="18" xfId="1" applyFont="1" applyBorder="1" applyAlignment="1">
      <alignment horizontal="left" vertical="top" wrapText="1"/>
    </xf>
    <xf numFmtId="0" fontId="21" fillId="0" borderId="14" xfId="1" applyFont="1" applyFill="1" applyBorder="1" applyAlignment="1">
      <alignment horizontal="left" vertical="top" wrapText="1"/>
    </xf>
    <xf numFmtId="0" fontId="3" fillId="0" borderId="43" xfId="0" applyFont="1" applyBorder="1" applyAlignment="1">
      <alignment horizontal="center" vertical="top" wrapText="1"/>
    </xf>
    <xf numFmtId="0" fontId="17" fillId="0" borderId="95" xfId="0" applyFont="1" applyBorder="1" applyAlignment="1">
      <alignment horizontal="center" vertical="top"/>
    </xf>
    <xf numFmtId="0" fontId="12" fillId="0" borderId="82" xfId="0" applyFont="1" applyBorder="1" applyAlignment="1">
      <alignment horizontal="center" vertical="top" wrapText="1"/>
    </xf>
    <xf numFmtId="0" fontId="12" fillId="0" borderId="84" xfId="0" applyFont="1" applyBorder="1" applyAlignment="1">
      <alignment horizontal="center" vertical="top" wrapText="1"/>
    </xf>
    <xf numFmtId="0" fontId="12" fillId="0" borderId="44" xfId="0" applyFont="1" applyBorder="1" applyAlignment="1">
      <alignment horizontal="center" vertical="top" wrapText="1"/>
    </xf>
    <xf numFmtId="0" fontId="12" fillId="0" borderId="0" xfId="0" applyFont="1" applyAlignment="1">
      <alignment horizontal="left" vertical="top"/>
    </xf>
    <xf numFmtId="0" fontId="15" fillId="0" borderId="0" xfId="0" applyFont="1" applyAlignment="1">
      <alignment horizontal="left" vertical="top"/>
    </xf>
    <xf numFmtId="0" fontId="17" fillId="0" borderId="0" xfId="0" applyFont="1" applyAlignment="1">
      <alignment horizontal="left" vertical="top"/>
    </xf>
    <xf numFmtId="0" fontId="12" fillId="0" borderId="0" xfId="0" applyFont="1"/>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xf>
    <xf numFmtId="0" fontId="50" fillId="0" borderId="0" xfId="0" applyFont="1" applyAlignment="1">
      <alignment vertical="top"/>
    </xf>
    <xf numFmtId="0" fontId="50" fillId="0" borderId="0" xfId="0" applyFont="1" applyAlignment="1">
      <alignment horizontal="left" vertical="top" wrapText="1"/>
    </xf>
    <xf numFmtId="0" fontId="51" fillId="6" borderId="0" xfId="0" applyFont="1" applyFill="1" applyAlignment="1">
      <alignment horizontal="center" vertical="top" wrapText="1"/>
    </xf>
    <xf numFmtId="0" fontId="50" fillId="0" borderId="0" xfId="0" applyFont="1"/>
    <xf numFmtId="0" fontId="49" fillId="0" borderId="0" xfId="0" applyFont="1" applyAlignment="1">
      <alignment vertical="top"/>
    </xf>
    <xf numFmtId="0" fontId="49" fillId="0" borderId="0" xfId="0" applyFont="1" applyAlignment="1">
      <alignment horizontal="left" vertical="top" wrapText="1"/>
    </xf>
    <xf numFmtId="0" fontId="12" fillId="0" borderId="0" xfId="0" applyFont="1" applyAlignment="1">
      <alignment horizontal="center"/>
    </xf>
    <xf numFmtId="0" fontId="6" fillId="0" borderId="11" xfId="0" quotePrefix="1" applyFont="1" applyBorder="1" applyAlignment="1">
      <alignment horizontal="left" vertical="top" wrapText="1"/>
    </xf>
    <xf numFmtId="0" fontId="45" fillId="0" borderId="0" xfId="0" applyFont="1" applyAlignment="1">
      <alignment vertical="top"/>
    </xf>
    <xf numFmtId="0" fontId="12" fillId="0" borderId="15" xfId="0" applyFont="1" applyBorder="1" applyAlignment="1">
      <alignment horizontal="center" vertical="top"/>
    </xf>
    <xf numFmtId="0" fontId="17" fillId="0" borderId="15" xfId="0" applyFont="1" applyBorder="1" applyAlignment="1">
      <alignment horizontal="center" vertical="top"/>
    </xf>
    <xf numFmtId="0" fontId="12" fillId="0" borderId="15" xfId="0" applyFont="1" applyBorder="1" applyAlignment="1">
      <alignment horizontal="center" vertical="top" wrapText="1"/>
    </xf>
    <xf numFmtId="0" fontId="17" fillId="0" borderId="13" xfId="0" applyFont="1" applyBorder="1" applyAlignment="1">
      <alignment horizontal="center" vertical="top"/>
    </xf>
    <xf numFmtId="0" fontId="12" fillId="0" borderId="87" xfId="0" applyFont="1" applyBorder="1" applyAlignment="1">
      <alignment horizontal="center" vertical="top"/>
    </xf>
    <xf numFmtId="0" fontId="12" fillId="0" borderId="88" xfId="0" applyFont="1" applyBorder="1" applyAlignment="1">
      <alignment horizontal="center" vertical="top"/>
    </xf>
    <xf numFmtId="0" fontId="12" fillId="0" borderId="43" xfId="0" applyFont="1" applyBorder="1" applyAlignment="1">
      <alignment horizontal="center" vertical="top"/>
    </xf>
    <xf numFmtId="0" fontId="12" fillId="0" borderId="44" xfId="0" applyFont="1" applyBorder="1" applyAlignment="1">
      <alignment horizontal="center" vertical="top"/>
    </xf>
    <xf numFmtId="0" fontId="12" fillId="0" borderId="89" xfId="0" applyFont="1" applyBorder="1" applyAlignment="1">
      <alignment horizontal="center" vertical="top"/>
    </xf>
    <xf numFmtId="0" fontId="12" fillId="0" borderId="90" xfId="0" applyFont="1" applyBorder="1" applyAlignment="1">
      <alignment horizontal="center" vertical="top"/>
    </xf>
    <xf numFmtId="0" fontId="12" fillId="0" borderId="91" xfId="0" applyFont="1" applyBorder="1" applyAlignment="1">
      <alignment horizontal="center" vertical="top"/>
    </xf>
    <xf numFmtId="0" fontId="12" fillId="0" borderId="43" xfId="0" applyFont="1" applyBorder="1" applyAlignment="1">
      <alignment horizontal="center" vertical="top" wrapText="1"/>
    </xf>
    <xf numFmtId="0" fontId="12" fillId="0" borderId="77" xfId="0" applyFont="1" applyBorder="1" applyAlignment="1">
      <alignment horizontal="center" vertical="top" wrapText="1"/>
    </xf>
    <xf numFmtId="0" fontId="50" fillId="0" borderId="77" xfId="0" applyFont="1" applyBorder="1" applyAlignment="1">
      <alignment horizontal="center" vertical="top" wrapText="1"/>
    </xf>
    <xf numFmtId="0" fontId="52" fillId="7" borderId="13" xfId="0" applyFont="1" applyFill="1" applyBorder="1" applyAlignment="1">
      <alignment horizontal="left" vertical="top" wrapText="1"/>
    </xf>
    <xf numFmtId="0" fontId="50" fillId="0" borderId="84" xfId="0" applyFont="1" applyBorder="1" applyAlignment="1">
      <alignment horizontal="center" vertical="top" wrapText="1"/>
    </xf>
    <xf numFmtId="0" fontId="50" fillId="7" borderId="77" xfId="0" applyFont="1" applyFill="1" applyBorder="1" applyAlignment="1">
      <alignment horizontal="center" vertical="top" wrapText="1"/>
    </xf>
    <xf numFmtId="0" fontId="50" fillId="0" borderId="6" xfId="0" applyFont="1" applyBorder="1" applyAlignment="1">
      <alignment vertical="top" wrapText="1"/>
    </xf>
    <xf numFmtId="0" fontId="12" fillId="0" borderId="45" xfId="0" applyFont="1" applyBorder="1" applyAlignment="1">
      <alignment horizontal="center" vertical="top" wrapText="1"/>
    </xf>
    <xf numFmtId="0" fontId="12" fillId="0" borderId="42" xfId="0" applyFont="1" applyBorder="1" applyAlignment="1">
      <alignment horizontal="center" vertical="top" wrapText="1"/>
    </xf>
    <xf numFmtId="164" fontId="12" fillId="0" borderId="55" xfId="0" applyNumberFormat="1" applyFont="1" applyBorder="1" applyAlignment="1">
      <alignment horizontal="center" vertical="top" wrapText="1"/>
    </xf>
    <xf numFmtId="0" fontId="6" fillId="0" borderId="8" xfId="0" applyFont="1" applyBorder="1" applyAlignment="1">
      <alignment horizontal="center" vertical="top" wrapText="1"/>
    </xf>
    <xf numFmtId="0" fontId="6" fillId="0" borderId="15" xfId="0" applyFont="1" applyBorder="1" applyAlignment="1">
      <alignment horizontal="center" vertical="top" wrapText="1"/>
    </xf>
    <xf numFmtId="0" fontId="12" fillId="0" borderId="58" xfId="0" applyFont="1" applyBorder="1" applyAlignment="1">
      <alignment horizontal="center" vertical="top" wrapText="1"/>
    </xf>
    <xf numFmtId="0" fontId="12" fillId="0" borderId="59" xfId="0" applyFont="1" applyBorder="1" applyAlignment="1">
      <alignment horizontal="center" vertical="top" wrapText="1"/>
    </xf>
    <xf numFmtId="0" fontId="51" fillId="0" borderId="33" xfId="0" applyFont="1" applyBorder="1" applyAlignment="1">
      <alignment horizontal="center" vertical="top" wrapText="1"/>
    </xf>
    <xf numFmtId="0" fontId="51" fillId="0" borderId="33" xfId="0" applyFont="1" applyBorder="1" applyAlignment="1">
      <alignment horizontal="center" vertical="top"/>
    </xf>
    <xf numFmtId="0" fontId="51" fillId="5" borderId="4" xfId="0" applyFont="1" applyFill="1" applyBorder="1" applyAlignment="1">
      <alignment horizontal="center" vertical="top" wrapText="1"/>
    </xf>
    <xf numFmtId="0" fontId="51" fillId="5" borderId="3" xfId="0" applyFont="1" applyFill="1" applyBorder="1" applyAlignment="1">
      <alignment horizontal="center" vertical="top" wrapText="1"/>
    </xf>
    <xf numFmtId="0" fontId="51" fillId="5" borderId="2" xfId="0" applyFont="1" applyFill="1" applyBorder="1" applyAlignment="1">
      <alignment horizontal="center" vertical="top" wrapText="1"/>
    </xf>
    <xf numFmtId="0" fontId="53" fillId="5" borderId="2" xfId="0" applyFont="1" applyFill="1" applyBorder="1" applyAlignment="1">
      <alignment horizontal="center" vertical="top" wrapText="1"/>
    </xf>
    <xf numFmtId="0" fontId="53" fillId="5" borderId="3" xfId="0" applyFont="1" applyFill="1" applyBorder="1" applyAlignment="1">
      <alignment horizontal="center" vertical="top" wrapText="1"/>
    </xf>
    <xf numFmtId="0" fontId="50" fillId="5" borderId="3" xfId="0" applyFont="1" applyFill="1" applyBorder="1" applyAlignment="1">
      <alignment horizontal="center" vertical="top" wrapText="1"/>
    </xf>
    <xf numFmtId="164" fontId="17" fillId="0" borderId="55" xfId="0" applyNumberFormat="1" applyFont="1" applyBorder="1" applyAlignment="1">
      <alignment horizontal="center" vertical="top"/>
    </xf>
    <xf numFmtId="0" fontId="12" fillId="0" borderId="99" xfId="0" applyFont="1" applyBorder="1" applyAlignment="1">
      <alignment horizontal="center" vertical="top"/>
    </xf>
    <xf numFmtId="164" fontId="12" fillId="0" borderId="32" xfId="0" applyNumberFormat="1" applyFont="1" applyBorder="1" applyAlignment="1">
      <alignment horizontal="center" vertical="top"/>
    </xf>
    <xf numFmtId="164" fontId="12" fillId="0" borderId="18" xfId="0" applyNumberFormat="1" applyFont="1" applyBorder="1" applyAlignment="1">
      <alignment horizontal="center" vertical="top"/>
    </xf>
    <xf numFmtId="0" fontId="12" fillId="0" borderId="3" xfId="0" applyFont="1" applyBorder="1" applyAlignment="1">
      <alignment vertical="top" wrapText="1"/>
    </xf>
    <xf numFmtId="0" fontId="19" fillId="0" borderId="16" xfId="0" applyFont="1" applyBorder="1" applyAlignment="1">
      <alignment horizontal="left" vertical="top" wrapText="1"/>
    </xf>
    <xf numFmtId="0" fontId="19" fillId="0" borderId="18" xfId="0" applyFont="1" applyBorder="1" applyAlignment="1">
      <alignment horizontal="left" vertical="top" wrapText="1"/>
    </xf>
    <xf numFmtId="0" fontId="17" fillId="0" borderId="15" xfId="1" applyFont="1" applyBorder="1" applyAlignment="1">
      <alignment horizontal="center" vertical="top"/>
    </xf>
    <xf numFmtId="0" fontId="6" fillId="0" borderId="38" xfId="0" applyFont="1" applyBorder="1" applyAlignment="1">
      <alignment horizontal="center" vertical="top" wrapText="1"/>
    </xf>
    <xf numFmtId="0" fontId="0" fillId="7" borderId="76" xfId="0" applyFill="1" applyBorder="1" applyAlignment="1">
      <alignment horizontal="center" vertical="center"/>
    </xf>
    <xf numFmtId="164" fontId="0" fillId="0" borderId="76" xfId="0" applyNumberFormat="1" applyBorder="1" applyAlignment="1">
      <alignment horizontal="center"/>
    </xf>
    <xf numFmtId="164" fontId="0" fillId="0" borderId="2" xfId="0" applyNumberFormat="1" applyBorder="1" applyAlignment="1">
      <alignment horizontal="center"/>
    </xf>
    <xf numFmtId="164" fontId="0" fillId="0" borderId="73" xfId="0" applyNumberFormat="1" applyBorder="1" applyAlignment="1">
      <alignment horizontal="center"/>
    </xf>
    <xf numFmtId="0" fontId="15" fillId="5" borderId="34" xfId="0" applyFont="1" applyFill="1" applyBorder="1" applyAlignment="1">
      <alignment horizontal="left" vertical="top" wrapText="1"/>
    </xf>
    <xf numFmtId="0" fontId="12" fillId="10" borderId="33" xfId="0" applyFont="1" applyFill="1" applyBorder="1" applyAlignment="1">
      <alignment horizontal="left" vertical="top" wrapText="1"/>
    </xf>
    <xf numFmtId="0" fontId="0" fillId="7" borderId="51" xfId="0" applyFill="1" applyBorder="1" applyAlignment="1">
      <alignment horizontal="left" vertical="top" wrapText="1"/>
    </xf>
    <xf numFmtId="0" fontId="12" fillId="7" borderId="51" xfId="0" applyFont="1" applyFill="1" applyBorder="1" applyAlignment="1">
      <alignment vertical="top" wrapText="1"/>
    </xf>
    <xf numFmtId="164" fontId="12" fillId="0" borderId="13" xfId="0" applyNumberFormat="1" applyFont="1" applyBorder="1" applyAlignment="1">
      <alignment horizontal="center" vertical="top" wrapText="1"/>
    </xf>
    <xf numFmtId="0" fontId="0" fillId="4" borderId="88" xfId="0" applyFill="1" applyBorder="1" applyAlignment="1">
      <alignment horizontal="center" vertical="top" wrapText="1"/>
    </xf>
    <xf numFmtId="164" fontId="16" fillId="0" borderId="6" xfId="0" applyNumberFormat="1" applyFont="1" applyBorder="1" applyAlignment="1">
      <alignment horizontal="center" vertical="center"/>
    </xf>
    <xf numFmtId="0" fontId="16" fillId="0" borderId="13" xfId="0" applyFont="1" applyBorder="1" applyAlignment="1">
      <alignment horizontal="center" vertical="center"/>
    </xf>
    <xf numFmtId="0" fontId="0" fillId="0" borderId="86" xfId="0" applyBorder="1" applyAlignment="1">
      <alignment horizontal="center" vertical="center"/>
    </xf>
    <xf numFmtId="0" fontId="30" fillId="0" borderId="0" xfId="0" applyFont="1" applyAlignment="1">
      <alignment horizontal="left" vertical="center"/>
    </xf>
    <xf numFmtId="0" fontId="7" fillId="0" borderId="0" xfId="1" applyAlignment="1">
      <alignment horizontal="left" vertical="center"/>
    </xf>
    <xf numFmtId="0" fontId="54" fillId="0" borderId="0" xfId="0" applyFont="1" applyAlignment="1">
      <alignment horizontal="left" vertical="center"/>
    </xf>
    <xf numFmtId="0" fontId="55" fillId="0" borderId="0" xfId="0" applyFont="1"/>
    <xf numFmtId="0" fontId="56" fillId="0" borderId="0" xfId="0" applyFont="1"/>
    <xf numFmtId="0" fontId="34" fillId="0" borderId="0" xfId="0" applyFont="1" applyAlignment="1">
      <alignment horizontal="left" vertical="top" wrapText="1"/>
    </xf>
    <xf numFmtId="0" fontId="35" fillId="0" borderId="0" xfId="0" applyFont="1"/>
    <xf numFmtId="0" fontId="25" fillId="0" borderId="0" xfId="0" applyFont="1" applyAlignment="1">
      <alignment horizontal="left" vertical="top" wrapText="1"/>
    </xf>
    <xf numFmtId="0" fontId="27" fillId="3"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0" fontId="26" fillId="0" borderId="33" xfId="0" applyFont="1" applyBorder="1" applyAlignment="1">
      <alignment horizontal="left" vertical="top" wrapText="1"/>
    </xf>
    <xf numFmtId="0" fontId="0" fillId="0" borderId="34" xfId="0" applyBorder="1" applyAlignment="1">
      <alignment horizontal="left" vertical="top" wrapText="1"/>
    </xf>
    <xf numFmtId="0" fontId="22" fillId="6" borderId="71" xfId="0" applyFont="1" applyFill="1" applyBorder="1" applyAlignment="1">
      <alignment horizontal="center" vertical="top" wrapText="1"/>
    </xf>
    <xf numFmtId="0" fontId="13" fillId="0" borderId="22" xfId="0" applyFont="1" applyBorder="1" applyAlignment="1">
      <alignment horizontal="center" vertical="top" wrapText="1"/>
    </xf>
    <xf numFmtId="0" fontId="0" fillId="0" borderId="27" xfId="0" applyBorder="1" applyAlignment="1">
      <alignment horizontal="center" vertical="top" wrapText="1"/>
    </xf>
    <xf numFmtId="0" fontId="13" fillId="6" borderId="78" xfId="0" applyFont="1" applyFill="1" applyBorder="1" applyAlignment="1">
      <alignment horizontal="center" vertical="top" wrapText="1"/>
    </xf>
    <xf numFmtId="0" fontId="0" fillId="0" borderId="79" xfId="0" applyBorder="1" applyAlignment="1">
      <alignment horizontal="center" vertical="top" wrapText="1"/>
    </xf>
    <xf numFmtId="0" fontId="0" fillId="0" borderId="80" xfId="0" applyBorder="1" applyAlignment="1">
      <alignment horizontal="center" vertical="top" wrapText="1"/>
    </xf>
    <xf numFmtId="0" fontId="13" fillId="6" borderId="79" xfId="0" applyFont="1" applyFill="1" applyBorder="1" applyAlignment="1">
      <alignment horizontal="center" vertical="top" wrapText="1"/>
    </xf>
    <xf numFmtId="0" fontId="13" fillId="6" borderId="80" xfId="0" applyFont="1" applyFill="1" applyBorder="1" applyAlignment="1">
      <alignment horizontal="center" vertical="top" wrapText="1"/>
    </xf>
    <xf numFmtId="0" fontId="28" fillId="0" borderId="0" xfId="0" applyFont="1" applyAlignment="1">
      <alignment horizontal="left" vertical="top" wrapText="1"/>
    </xf>
    <xf numFmtId="0" fontId="18" fillId="0" borderId="0" xfId="0" applyFont="1" applyAlignment="1">
      <alignment horizontal="center" vertical="top" wrapText="1"/>
    </xf>
    <xf numFmtId="0" fontId="16" fillId="0" borderId="0" xfId="0" applyFont="1" applyAlignment="1">
      <alignment horizontal="center" vertical="top" wrapText="1"/>
    </xf>
    <xf numFmtId="0" fontId="9"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25" fillId="2" borderId="0" xfId="0" applyFont="1" applyFill="1" applyAlignment="1">
      <alignment horizontal="left" vertical="top" wrapText="1"/>
    </xf>
    <xf numFmtId="0" fontId="13" fillId="6" borderId="71" xfId="0" applyFont="1" applyFill="1" applyBorder="1" applyAlignment="1">
      <alignment horizontal="center" vertical="top" wrapText="1"/>
    </xf>
    <xf numFmtId="0" fontId="9" fillId="5" borderId="1" xfId="0" applyFont="1" applyFill="1" applyBorder="1" applyAlignment="1">
      <alignment horizontal="left" vertical="top"/>
    </xf>
    <xf numFmtId="0" fontId="12" fillId="5" borderId="3" xfId="0" applyFont="1" applyFill="1" applyBorder="1" applyAlignment="1">
      <alignment horizontal="left" vertical="top" wrapText="1"/>
    </xf>
    <xf numFmtId="0" fontId="12" fillId="0" borderId="60" xfId="0" applyFont="1" applyBorder="1" applyAlignment="1">
      <alignment vertical="top" wrapText="1"/>
    </xf>
    <xf numFmtId="0" fontId="0" fillId="0" borderId="38" xfId="0" applyBorder="1" applyAlignment="1">
      <alignmen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0" fillId="0" borderId="0" xfId="0" applyAlignment="1">
      <alignment horizontal="justify" vertical="center" wrapText="1"/>
    </xf>
    <xf numFmtId="0" fontId="0" fillId="0" borderId="0" xfId="0" applyAlignment="1">
      <alignment wrapText="1"/>
    </xf>
    <xf numFmtId="0" fontId="26" fillId="0" borderId="37" xfId="0" applyFont="1" applyBorder="1" applyAlignment="1">
      <alignment horizontal="left" vertical="top" wrapText="1"/>
    </xf>
    <xf numFmtId="0" fontId="0" fillId="0" borderId="35" xfId="0" applyBorder="1" applyAlignment="1">
      <alignment horizontal="left" vertical="top" wrapText="1"/>
    </xf>
    <xf numFmtId="0" fontId="13" fillId="0" borderId="2" xfId="0" applyFont="1" applyBorder="1" applyAlignment="1">
      <alignment horizontal="center" vertical="center" textRotation="90" wrapText="1"/>
    </xf>
    <xf numFmtId="0" fontId="0" fillId="0" borderId="3" xfId="0" applyBorder="1" applyAlignment="1">
      <alignment horizontal="center" vertical="center" textRotation="90" wrapText="1"/>
    </xf>
    <xf numFmtId="0" fontId="15" fillId="5" borderId="1" xfId="0" applyFont="1" applyFill="1" applyBorder="1" applyAlignment="1">
      <alignment horizontal="left" vertical="top" wrapText="1"/>
    </xf>
    <xf numFmtId="0" fontId="13" fillId="0" borderId="1" xfId="0" applyFont="1" applyBorder="1" applyAlignment="1">
      <alignment horizontal="center" vertical="center" textRotation="90" wrapText="1"/>
    </xf>
    <xf numFmtId="0" fontId="0" fillId="0" borderId="4" xfId="0" applyBorder="1" applyAlignment="1">
      <alignment horizontal="center" vertical="center" textRotation="90" wrapText="1"/>
    </xf>
    <xf numFmtId="0" fontId="13" fillId="0" borderId="27" xfId="0" applyFont="1" applyBorder="1" applyAlignment="1">
      <alignment horizontal="center" vertical="center" textRotation="90" wrapText="1"/>
    </xf>
    <xf numFmtId="0" fontId="0" fillId="0" borderId="35" xfId="0" applyBorder="1" applyAlignment="1">
      <alignment wrapText="1"/>
    </xf>
    <xf numFmtId="0" fontId="0" fillId="0" borderId="34" xfId="0" applyBorder="1" applyAlignment="1">
      <alignment wrapText="1"/>
    </xf>
    <xf numFmtId="0" fontId="0" fillId="0" borderId="3" xfId="0" applyBorder="1" applyAlignment="1">
      <alignment horizontal="center" vertical="center" wrapText="1"/>
    </xf>
    <xf numFmtId="0" fontId="0" fillId="0" borderId="4" xfId="0" applyBorder="1" applyAlignment="1">
      <alignment wrapText="1"/>
    </xf>
    <xf numFmtId="0" fontId="12" fillId="0" borderId="27" xfId="0" applyFont="1" applyBorder="1" applyAlignment="1">
      <alignment vertical="top" wrapText="1"/>
    </xf>
    <xf numFmtId="0" fontId="12" fillId="0" borderId="35" xfId="0" applyFont="1" applyBorder="1" applyAlignment="1">
      <alignment vertical="top" wrapText="1"/>
    </xf>
    <xf numFmtId="0" fontId="12" fillId="0" borderId="34" xfId="0" applyFont="1" applyBorder="1" applyAlignment="1">
      <alignmen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4"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35" xfId="0" applyFont="1" applyBorder="1" applyAlignment="1">
      <alignment horizontal="center" vertical="center" textRotation="90" wrapText="1"/>
    </xf>
    <xf numFmtId="0" fontId="13" fillId="0" borderId="35" xfId="0" applyFont="1" applyBorder="1" applyAlignment="1">
      <alignment wrapText="1"/>
    </xf>
    <xf numFmtId="0" fontId="13" fillId="0" borderId="34" xfId="0" applyFont="1" applyBorder="1" applyAlignment="1">
      <alignment wrapText="1"/>
    </xf>
    <xf numFmtId="0" fontId="13" fillId="0" borderId="22" xfId="0" applyFont="1" applyBorder="1" applyAlignment="1">
      <alignment horizontal="center" vertical="center" textRotation="90" wrapText="1"/>
    </xf>
    <xf numFmtId="0" fontId="0" fillId="0" borderId="36" xfId="0" applyBorder="1" applyAlignment="1">
      <alignment wrapText="1"/>
    </xf>
    <xf numFmtId="0" fontId="0" fillId="0" borderId="35" xfId="0"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mruColors>
      <color rgb="FFFF9999"/>
      <color rgb="FFFFCC66"/>
      <color rgb="FFFFCCFF"/>
      <color rgb="FF9999FF"/>
      <color rgb="FF00CC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Community and Culture Impact Domain</a:t>
            </a:r>
          </a:p>
          <a:p>
            <a:pPr>
              <a:defRPr/>
            </a:pPr>
            <a:r>
              <a:rPr lang="en-US"/>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'D2 Community Dashboard'!$A$3</c:f>
              <c:strCache>
                <c:ptCount val="1"/>
                <c:pt idx="0">
                  <c:v>Community and Culture</c:v>
                </c:pt>
              </c:strCache>
            </c:strRef>
          </c:tx>
          <c:spPr>
            <a:solidFill>
              <a:schemeClr val="accent1"/>
            </a:solidFill>
            <a:ln>
              <a:noFill/>
            </a:ln>
            <a:effectLst/>
          </c:spPr>
          <c:invertIfNegative val="0"/>
          <c:cat>
            <c:strRef>
              <c:f>'D2 Community Dashboard'!$B$2:$D$2</c:f>
              <c:strCache>
                <c:ptCount val="3"/>
                <c:pt idx="0">
                  <c:v>CBA</c:v>
                </c:pt>
                <c:pt idx="1">
                  <c:v>SROI</c:v>
                </c:pt>
                <c:pt idx="2">
                  <c:v>WV</c:v>
                </c:pt>
              </c:strCache>
            </c:strRef>
          </c:cat>
          <c:val>
            <c:numRef>
              <c:f>'D2 Community Dashboard'!$B$3:$D$3</c:f>
              <c:numCache>
                <c:formatCode>"$"#,##0</c:formatCode>
                <c:ptCount val="3"/>
                <c:pt idx="0">
                  <c:v>0</c:v>
                </c:pt>
                <c:pt idx="1">
                  <c:v>0</c:v>
                </c:pt>
                <c:pt idx="2">
                  <c:v>33814.699999999997</c:v>
                </c:pt>
              </c:numCache>
            </c:numRef>
          </c:val>
          <c:extLst>
            <c:ext xmlns:c16="http://schemas.microsoft.com/office/drawing/2014/chart" uri="{C3380CC4-5D6E-409C-BE32-E72D297353CC}">
              <c16:uniqueId val="{00000000-142E-4D6F-A12A-40EE2A0837E8}"/>
            </c:ext>
          </c:extLst>
        </c:ser>
        <c:dLbls>
          <c:showLegendKey val="0"/>
          <c:showVal val="0"/>
          <c:showCatName val="0"/>
          <c:showSerName val="0"/>
          <c:showPercent val="0"/>
          <c:showBubbleSize val="0"/>
        </c:dLbls>
        <c:gapWidth val="219"/>
        <c:overlap val="-27"/>
        <c:axId val="603743936"/>
        <c:axId val="603742296"/>
      </c:barChart>
      <c:catAx>
        <c:axId val="60374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742296"/>
        <c:crosses val="autoZero"/>
        <c:auto val="1"/>
        <c:lblAlgn val="ctr"/>
        <c:lblOffset val="100"/>
        <c:noMultiLvlLbl val="0"/>
      </c:catAx>
      <c:valAx>
        <c:axId val="6037422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743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Transformational</a:t>
            </a:r>
            <a:r>
              <a:rPr lang="en-AU" baseline="0"/>
              <a:t> N</a:t>
            </a:r>
            <a:r>
              <a:rPr lang="en-AU"/>
              <a:t>arratives Context Domain</a:t>
            </a:r>
          </a:p>
          <a:p>
            <a:pPr>
              <a:defRPr/>
            </a:pPr>
            <a:r>
              <a:rPr lang="en-AU"/>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'Narratives Dashboard'!$A$3</c:f>
              <c:strCache>
                <c:ptCount val="1"/>
                <c:pt idx="0">
                  <c:v>Narratives</c:v>
                </c:pt>
              </c:strCache>
            </c:strRef>
          </c:tx>
          <c:spPr>
            <a:solidFill>
              <a:schemeClr val="accent1"/>
            </a:solidFill>
            <a:ln>
              <a:noFill/>
            </a:ln>
            <a:effectLst/>
          </c:spPr>
          <c:invertIfNegative val="0"/>
          <c:cat>
            <c:strRef>
              <c:f>'Narratives Dashboard'!$B$2:$D$2</c:f>
              <c:strCache>
                <c:ptCount val="3"/>
                <c:pt idx="0">
                  <c:v>CBA</c:v>
                </c:pt>
                <c:pt idx="1">
                  <c:v>SROI</c:v>
                </c:pt>
                <c:pt idx="2">
                  <c:v>WV</c:v>
                </c:pt>
              </c:strCache>
            </c:strRef>
          </c:cat>
          <c:val>
            <c:numRef>
              <c:f>'Narratives Dashboard'!$B$3:$D$3</c:f>
              <c:numCache>
                <c:formatCode>"$"#,##0</c:formatCode>
                <c:ptCount val="3"/>
                <c:pt idx="0">
                  <c:v>0</c:v>
                </c:pt>
                <c:pt idx="1">
                  <c:v>0</c:v>
                </c:pt>
                <c:pt idx="2">
                  <c:v>0</c:v>
                </c:pt>
              </c:numCache>
            </c:numRef>
          </c:val>
          <c:extLst>
            <c:ext xmlns:c16="http://schemas.microsoft.com/office/drawing/2014/chart" uri="{C3380CC4-5D6E-409C-BE32-E72D297353CC}">
              <c16:uniqueId val="{00000000-A5FB-4DC6-8A90-44B41CE259DC}"/>
            </c:ext>
          </c:extLst>
        </c:ser>
        <c:dLbls>
          <c:showLegendKey val="0"/>
          <c:showVal val="0"/>
          <c:showCatName val="0"/>
          <c:showSerName val="0"/>
          <c:showPercent val="0"/>
          <c:showBubbleSize val="0"/>
        </c:dLbls>
        <c:gapWidth val="219"/>
        <c:overlap val="-27"/>
        <c:axId val="841352024"/>
        <c:axId val="841352352"/>
      </c:barChart>
      <c:catAx>
        <c:axId val="841352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352352"/>
        <c:crosses val="autoZero"/>
        <c:auto val="1"/>
        <c:lblAlgn val="ctr"/>
        <c:lblOffset val="100"/>
        <c:noMultiLvlLbl val="0"/>
      </c:catAx>
      <c:valAx>
        <c:axId val="8413523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1352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Network Engagement Context</a:t>
            </a:r>
            <a:r>
              <a:rPr lang="en-AU" baseline="0"/>
              <a:t> Domain</a:t>
            </a:r>
          </a:p>
          <a:p>
            <a:pPr>
              <a:defRPr/>
            </a:pPr>
            <a:r>
              <a:rPr lang="en-AU" baseline="0"/>
              <a:t>$ ROI</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'Network dashboard'!$A$3</c:f>
              <c:strCache>
                <c:ptCount val="1"/>
                <c:pt idx="0">
                  <c:v>Network engagement</c:v>
                </c:pt>
              </c:strCache>
            </c:strRef>
          </c:tx>
          <c:spPr>
            <a:solidFill>
              <a:schemeClr val="accent1"/>
            </a:solidFill>
            <a:ln>
              <a:noFill/>
            </a:ln>
            <a:effectLst/>
          </c:spPr>
          <c:invertIfNegative val="0"/>
          <c:cat>
            <c:strRef>
              <c:f>'Network dashboard'!$B$2:$D$2</c:f>
              <c:strCache>
                <c:ptCount val="3"/>
                <c:pt idx="0">
                  <c:v>CBA</c:v>
                </c:pt>
                <c:pt idx="1">
                  <c:v>SROI</c:v>
                </c:pt>
                <c:pt idx="2">
                  <c:v>WV</c:v>
                </c:pt>
              </c:strCache>
            </c:strRef>
          </c:cat>
          <c:val>
            <c:numRef>
              <c:f>'Network dashboard'!$B$3:$D$3</c:f>
              <c:numCache>
                <c:formatCode>"$"#,##0</c:formatCode>
                <c:ptCount val="3"/>
                <c:pt idx="0">
                  <c:v>0</c:v>
                </c:pt>
                <c:pt idx="1">
                  <c:v>0</c:v>
                </c:pt>
                <c:pt idx="2">
                  <c:v>0</c:v>
                </c:pt>
              </c:numCache>
            </c:numRef>
          </c:val>
          <c:extLst>
            <c:ext xmlns:c16="http://schemas.microsoft.com/office/drawing/2014/chart" uri="{C3380CC4-5D6E-409C-BE32-E72D297353CC}">
              <c16:uniqueId val="{00000000-DEDD-4BC3-B206-9428A1C7055E}"/>
            </c:ext>
          </c:extLst>
        </c:ser>
        <c:dLbls>
          <c:showLegendKey val="0"/>
          <c:showVal val="0"/>
          <c:showCatName val="0"/>
          <c:showSerName val="0"/>
          <c:showPercent val="0"/>
          <c:showBubbleSize val="0"/>
        </c:dLbls>
        <c:gapWidth val="219"/>
        <c:overlap val="-27"/>
        <c:axId val="845727176"/>
        <c:axId val="845728160"/>
      </c:barChart>
      <c:catAx>
        <c:axId val="84572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5728160"/>
        <c:crosses val="autoZero"/>
        <c:auto val="1"/>
        <c:lblAlgn val="ctr"/>
        <c:lblOffset val="100"/>
        <c:noMultiLvlLbl val="0"/>
      </c:catAx>
      <c:valAx>
        <c:axId val="8457281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5727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Innovation Context Domain</a:t>
            </a:r>
          </a:p>
          <a:p>
            <a:pPr>
              <a:defRPr/>
            </a:pPr>
            <a:r>
              <a:rPr lang="en-AU"/>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'Innovation Dashboard'!$A$3</c:f>
              <c:strCache>
                <c:ptCount val="1"/>
                <c:pt idx="0">
                  <c:v>Innovation</c:v>
                </c:pt>
              </c:strCache>
            </c:strRef>
          </c:tx>
          <c:spPr>
            <a:solidFill>
              <a:schemeClr val="accent1"/>
            </a:solidFill>
            <a:ln>
              <a:noFill/>
            </a:ln>
            <a:effectLst/>
          </c:spPr>
          <c:invertIfNegative val="0"/>
          <c:cat>
            <c:strRef>
              <c:f>'Innovation Dashboard'!$B$2:$D$2</c:f>
              <c:strCache>
                <c:ptCount val="3"/>
                <c:pt idx="0">
                  <c:v>CBA</c:v>
                </c:pt>
                <c:pt idx="1">
                  <c:v>SROI</c:v>
                </c:pt>
                <c:pt idx="2">
                  <c:v>WV</c:v>
                </c:pt>
              </c:strCache>
            </c:strRef>
          </c:cat>
          <c:val>
            <c:numRef>
              <c:f>'Innovation Dashboard'!$B$3:$D$3</c:f>
              <c:numCache>
                <c:formatCode>"$"#,##0</c:formatCode>
                <c:ptCount val="3"/>
                <c:pt idx="0">
                  <c:v>0</c:v>
                </c:pt>
                <c:pt idx="1">
                  <c:v>0</c:v>
                </c:pt>
                <c:pt idx="2">
                  <c:v>0</c:v>
                </c:pt>
              </c:numCache>
            </c:numRef>
          </c:val>
          <c:extLst>
            <c:ext xmlns:c16="http://schemas.microsoft.com/office/drawing/2014/chart" uri="{C3380CC4-5D6E-409C-BE32-E72D297353CC}">
              <c16:uniqueId val="{00000000-7951-466E-A8AC-92969B5B5B7E}"/>
            </c:ext>
          </c:extLst>
        </c:ser>
        <c:dLbls>
          <c:showLegendKey val="0"/>
          <c:showVal val="0"/>
          <c:showCatName val="0"/>
          <c:showSerName val="0"/>
          <c:showPercent val="0"/>
          <c:showBubbleSize val="0"/>
        </c:dLbls>
        <c:gapWidth val="219"/>
        <c:overlap val="-27"/>
        <c:axId val="748063344"/>
        <c:axId val="748062360"/>
      </c:barChart>
      <c:catAx>
        <c:axId val="74806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8062360"/>
        <c:crosses val="autoZero"/>
        <c:auto val="1"/>
        <c:lblAlgn val="ctr"/>
        <c:lblOffset val="100"/>
        <c:noMultiLvlLbl val="0"/>
      </c:catAx>
      <c:valAx>
        <c:axId val="7480623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8063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SAHI Tool </a:t>
            </a:r>
            <a:r>
              <a:rPr lang="en-AU" sz="1400" b="0" i="0" u="none" strike="noStrike" baseline="0">
                <a:effectLst/>
              </a:rPr>
              <a:t>– </a:t>
            </a:r>
            <a:r>
              <a:rPr lang="en-AU"/>
              <a:t>Funding Social Housing Scenario</a:t>
            </a:r>
          </a:p>
          <a:p>
            <a:pPr>
              <a:defRPr/>
            </a:pPr>
            <a:r>
              <a:rPr lang="en-AU"/>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'Funding Dashboard'!$B$3</c:f>
              <c:strCache>
                <c:ptCount val="1"/>
                <c:pt idx="0">
                  <c:v>CBA</c:v>
                </c:pt>
              </c:strCache>
            </c:strRef>
          </c:tx>
          <c:spPr>
            <a:solidFill>
              <a:schemeClr val="accent1"/>
            </a:solidFill>
            <a:ln>
              <a:noFill/>
            </a:ln>
            <a:effectLst/>
          </c:spPr>
          <c:invertIfNegative val="0"/>
          <c:cat>
            <c:strRef>
              <c:f>'Funding Dashboard'!$A$4:$A$7</c:f>
              <c:strCache>
                <c:ptCount val="4"/>
                <c:pt idx="0">
                  <c:v>Built form</c:v>
                </c:pt>
                <c:pt idx="1">
                  <c:v>Household</c:v>
                </c:pt>
                <c:pt idx="2">
                  <c:v>Connections</c:v>
                </c:pt>
                <c:pt idx="3">
                  <c:v>Interactions</c:v>
                </c:pt>
              </c:strCache>
            </c:strRef>
          </c:cat>
          <c:val>
            <c:numRef>
              <c:f>'Funding Dashboard'!$B$4:$B$7</c:f>
              <c:numCache>
                <c:formatCode>"$"#,##0</c:formatCode>
                <c:ptCount val="4"/>
                <c:pt idx="0">
                  <c:v>1872</c:v>
                </c:pt>
                <c:pt idx="1">
                  <c:v>0</c:v>
                </c:pt>
                <c:pt idx="2">
                  <c:v>0</c:v>
                </c:pt>
                <c:pt idx="3">
                  <c:v>37344.9</c:v>
                </c:pt>
              </c:numCache>
            </c:numRef>
          </c:val>
          <c:extLst>
            <c:ext xmlns:c16="http://schemas.microsoft.com/office/drawing/2014/chart" uri="{C3380CC4-5D6E-409C-BE32-E72D297353CC}">
              <c16:uniqueId val="{00000000-75F7-458C-9629-583A0F3E2DB3}"/>
            </c:ext>
          </c:extLst>
        </c:ser>
        <c:ser>
          <c:idx val="1"/>
          <c:order val="1"/>
          <c:tx>
            <c:strRef>
              <c:f>'Funding Dashboard'!$C$3</c:f>
              <c:strCache>
                <c:ptCount val="1"/>
                <c:pt idx="0">
                  <c:v>SROI</c:v>
                </c:pt>
              </c:strCache>
            </c:strRef>
          </c:tx>
          <c:spPr>
            <a:solidFill>
              <a:schemeClr val="accent2"/>
            </a:solidFill>
            <a:ln>
              <a:noFill/>
            </a:ln>
            <a:effectLst/>
          </c:spPr>
          <c:invertIfNegative val="0"/>
          <c:cat>
            <c:strRef>
              <c:f>'Funding Dashboard'!$A$4:$A$7</c:f>
              <c:strCache>
                <c:ptCount val="4"/>
                <c:pt idx="0">
                  <c:v>Built form</c:v>
                </c:pt>
                <c:pt idx="1">
                  <c:v>Household</c:v>
                </c:pt>
                <c:pt idx="2">
                  <c:v>Connections</c:v>
                </c:pt>
                <c:pt idx="3">
                  <c:v>Interactions</c:v>
                </c:pt>
              </c:strCache>
            </c:strRef>
          </c:cat>
          <c:val>
            <c:numRef>
              <c:f>'Funding Dashboard'!$C$4:$C$7</c:f>
              <c:numCache>
                <c:formatCode>"$"#,##0</c:formatCode>
                <c:ptCount val="4"/>
                <c:pt idx="0">
                  <c:v>0</c:v>
                </c:pt>
                <c:pt idx="1">
                  <c:v>0</c:v>
                </c:pt>
                <c:pt idx="2">
                  <c:v>0</c:v>
                </c:pt>
                <c:pt idx="3">
                  <c:v>20670</c:v>
                </c:pt>
              </c:numCache>
            </c:numRef>
          </c:val>
          <c:extLst>
            <c:ext xmlns:c16="http://schemas.microsoft.com/office/drawing/2014/chart" uri="{C3380CC4-5D6E-409C-BE32-E72D297353CC}">
              <c16:uniqueId val="{00000001-75F7-458C-9629-583A0F3E2DB3}"/>
            </c:ext>
          </c:extLst>
        </c:ser>
        <c:ser>
          <c:idx val="2"/>
          <c:order val="2"/>
          <c:tx>
            <c:strRef>
              <c:f>'Funding Dashboard'!$D$3</c:f>
              <c:strCache>
                <c:ptCount val="1"/>
                <c:pt idx="0">
                  <c:v>WV</c:v>
                </c:pt>
              </c:strCache>
            </c:strRef>
          </c:tx>
          <c:spPr>
            <a:solidFill>
              <a:schemeClr val="accent3"/>
            </a:solidFill>
            <a:ln>
              <a:noFill/>
            </a:ln>
            <a:effectLst/>
          </c:spPr>
          <c:invertIfNegative val="0"/>
          <c:cat>
            <c:strRef>
              <c:f>'Funding Dashboard'!$A$4:$A$7</c:f>
              <c:strCache>
                <c:ptCount val="4"/>
                <c:pt idx="0">
                  <c:v>Built form</c:v>
                </c:pt>
                <c:pt idx="1">
                  <c:v>Household</c:v>
                </c:pt>
                <c:pt idx="2">
                  <c:v>Connections</c:v>
                </c:pt>
                <c:pt idx="3">
                  <c:v>Interactions</c:v>
                </c:pt>
              </c:strCache>
            </c:strRef>
          </c:cat>
          <c:val>
            <c:numRef>
              <c:f>'Funding Dashboard'!$D$4:$D$7</c:f>
              <c:numCache>
                <c:formatCode>"$"#,##0</c:formatCode>
                <c:ptCount val="4"/>
                <c:pt idx="0">
                  <c:v>3187.5</c:v>
                </c:pt>
                <c:pt idx="1">
                  <c:v>0</c:v>
                </c:pt>
                <c:pt idx="2">
                  <c:v>11784.4</c:v>
                </c:pt>
                <c:pt idx="3">
                  <c:v>4176.8999999999996</c:v>
                </c:pt>
              </c:numCache>
            </c:numRef>
          </c:val>
          <c:extLst>
            <c:ext xmlns:c16="http://schemas.microsoft.com/office/drawing/2014/chart" uri="{C3380CC4-5D6E-409C-BE32-E72D297353CC}">
              <c16:uniqueId val="{00000002-75F7-458C-9629-583A0F3E2DB3}"/>
            </c:ext>
          </c:extLst>
        </c:ser>
        <c:dLbls>
          <c:showLegendKey val="0"/>
          <c:showVal val="0"/>
          <c:showCatName val="0"/>
          <c:showSerName val="0"/>
          <c:showPercent val="0"/>
          <c:showBubbleSize val="0"/>
        </c:dLbls>
        <c:gapWidth val="219"/>
        <c:overlap val="-27"/>
        <c:axId val="705940304"/>
        <c:axId val="705937680"/>
      </c:barChart>
      <c:catAx>
        <c:axId val="7059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5937680"/>
        <c:crosses val="autoZero"/>
        <c:auto val="1"/>
        <c:lblAlgn val="ctr"/>
        <c:lblOffset val="100"/>
        <c:noMultiLvlLbl val="0"/>
      </c:catAx>
      <c:valAx>
        <c:axId val="705937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5940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Social Housing Scenario </a:t>
            </a:r>
          </a:p>
          <a:p>
            <a:pPr>
              <a:defRPr/>
            </a:pPr>
            <a:r>
              <a:rPr lang="en-US"/>
              <a:t>Built Form Cluster $ ROI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'Built form dashboard'!$A$3</c:f>
              <c:strCache>
                <c:ptCount val="1"/>
                <c:pt idx="0">
                  <c:v>Built form </c:v>
                </c:pt>
              </c:strCache>
            </c:strRef>
          </c:tx>
          <c:spPr>
            <a:solidFill>
              <a:schemeClr val="accent1"/>
            </a:solidFill>
            <a:ln>
              <a:noFill/>
            </a:ln>
            <a:effectLst/>
          </c:spPr>
          <c:invertIfNegative val="0"/>
          <c:cat>
            <c:strRef>
              <c:f>'Built form dashboard'!$B$2:$D$2</c:f>
              <c:strCache>
                <c:ptCount val="3"/>
                <c:pt idx="0">
                  <c:v>CBA</c:v>
                </c:pt>
                <c:pt idx="1">
                  <c:v>SROI</c:v>
                </c:pt>
                <c:pt idx="2">
                  <c:v>WV</c:v>
                </c:pt>
              </c:strCache>
            </c:strRef>
          </c:cat>
          <c:val>
            <c:numRef>
              <c:f>'Built form dashboard'!$B$3:$D$3</c:f>
              <c:numCache>
                <c:formatCode>"$"#,##0</c:formatCode>
                <c:ptCount val="3"/>
                <c:pt idx="0">
                  <c:v>1872</c:v>
                </c:pt>
                <c:pt idx="1">
                  <c:v>0</c:v>
                </c:pt>
                <c:pt idx="2">
                  <c:v>3187.5</c:v>
                </c:pt>
              </c:numCache>
            </c:numRef>
          </c:val>
          <c:extLst>
            <c:ext xmlns:c16="http://schemas.microsoft.com/office/drawing/2014/chart" uri="{C3380CC4-5D6E-409C-BE32-E72D297353CC}">
              <c16:uniqueId val="{00000000-F638-4E67-8940-991B0A9877A0}"/>
            </c:ext>
          </c:extLst>
        </c:ser>
        <c:dLbls>
          <c:showLegendKey val="0"/>
          <c:showVal val="0"/>
          <c:showCatName val="0"/>
          <c:showSerName val="0"/>
          <c:showPercent val="0"/>
          <c:showBubbleSize val="0"/>
        </c:dLbls>
        <c:gapWidth val="219"/>
        <c:overlap val="-27"/>
        <c:axId val="844983888"/>
        <c:axId val="844981264"/>
      </c:barChart>
      <c:catAx>
        <c:axId val="84498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4981264"/>
        <c:crosses val="autoZero"/>
        <c:auto val="1"/>
        <c:lblAlgn val="ctr"/>
        <c:lblOffset val="100"/>
        <c:noMultiLvlLbl val="0"/>
      </c:catAx>
      <c:valAx>
        <c:axId val="8449812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4983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Social Housing Scenario</a:t>
            </a:r>
          </a:p>
          <a:p>
            <a:pPr>
              <a:defRPr/>
            </a:pPr>
            <a:r>
              <a:rPr lang="en-US"/>
              <a:t>Household Cluster $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'Household dashboard'!$A$3</c:f>
              <c:strCache>
                <c:ptCount val="1"/>
                <c:pt idx="0">
                  <c:v>Household</c:v>
                </c:pt>
              </c:strCache>
            </c:strRef>
          </c:tx>
          <c:spPr>
            <a:solidFill>
              <a:schemeClr val="accent1"/>
            </a:solidFill>
            <a:ln>
              <a:noFill/>
            </a:ln>
            <a:effectLst/>
          </c:spPr>
          <c:invertIfNegative val="0"/>
          <c:cat>
            <c:strRef>
              <c:f>'Household dashboard'!$B$2:$D$2</c:f>
              <c:strCache>
                <c:ptCount val="3"/>
                <c:pt idx="0">
                  <c:v>CBA</c:v>
                </c:pt>
                <c:pt idx="1">
                  <c:v>SROI</c:v>
                </c:pt>
                <c:pt idx="2">
                  <c:v>WV</c:v>
                </c:pt>
              </c:strCache>
            </c:strRef>
          </c:cat>
          <c:val>
            <c:numRef>
              <c:f>'Household dashboard'!$B$3:$D$3</c:f>
              <c:numCache>
                <c:formatCode>"$"#,##0</c:formatCode>
                <c:ptCount val="3"/>
                <c:pt idx="0">
                  <c:v>7862</c:v>
                </c:pt>
                <c:pt idx="1">
                  <c:v>27903.599999999999</c:v>
                </c:pt>
                <c:pt idx="2">
                  <c:v>22304</c:v>
                </c:pt>
              </c:numCache>
            </c:numRef>
          </c:val>
          <c:extLst>
            <c:ext xmlns:c16="http://schemas.microsoft.com/office/drawing/2014/chart" uri="{C3380CC4-5D6E-409C-BE32-E72D297353CC}">
              <c16:uniqueId val="{00000000-CCBC-425E-85D6-607DCE89D287}"/>
            </c:ext>
          </c:extLst>
        </c:ser>
        <c:dLbls>
          <c:showLegendKey val="0"/>
          <c:showVal val="0"/>
          <c:showCatName val="0"/>
          <c:showSerName val="0"/>
          <c:showPercent val="0"/>
          <c:showBubbleSize val="0"/>
        </c:dLbls>
        <c:gapWidth val="219"/>
        <c:overlap val="-27"/>
        <c:axId val="838460776"/>
        <c:axId val="838462416"/>
      </c:barChart>
      <c:catAx>
        <c:axId val="83846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62416"/>
        <c:crosses val="autoZero"/>
        <c:auto val="1"/>
        <c:lblAlgn val="ctr"/>
        <c:lblOffset val="100"/>
        <c:noMultiLvlLbl val="0"/>
      </c:catAx>
      <c:valAx>
        <c:axId val="8384624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60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Social Housing Scenario</a:t>
            </a:r>
          </a:p>
          <a:p>
            <a:pPr>
              <a:defRPr/>
            </a:pPr>
            <a:r>
              <a:rPr lang="en-US"/>
              <a:t>Connections Cluster $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'Connections dashboard'!$A$3</c:f>
              <c:strCache>
                <c:ptCount val="1"/>
                <c:pt idx="0">
                  <c:v>Connections</c:v>
                </c:pt>
              </c:strCache>
            </c:strRef>
          </c:tx>
          <c:spPr>
            <a:solidFill>
              <a:schemeClr val="accent1"/>
            </a:solidFill>
            <a:ln>
              <a:noFill/>
            </a:ln>
            <a:effectLst/>
          </c:spPr>
          <c:invertIfNegative val="0"/>
          <c:cat>
            <c:strRef>
              <c:f>'Connections dashboard'!$B$2:$D$2</c:f>
              <c:strCache>
                <c:ptCount val="3"/>
                <c:pt idx="0">
                  <c:v>CBA</c:v>
                </c:pt>
                <c:pt idx="1">
                  <c:v>SROI</c:v>
                </c:pt>
                <c:pt idx="2">
                  <c:v>WV</c:v>
                </c:pt>
              </c:strCache>
            </c:strRef>
          </c:cat>
          <c:val>
            <c:numRef>
              <c:f>'Connections dashboard'!$B$3:$D$3</c:f>
              <c:numCache>
                <c:formatCode>"$"#,##0</c:formatCode>
                <c:ptCount val="3"/>
                <c:pt idx="0">
                  <c:v>0</c:v>
                </c:pt>
                <c:pt idx="1">
                  <c:v>0</c:v>
                </c:pt>
                <c:pt idx="2">
                  <c:v>11784.4</c:v>
                </c:pt>
              </c:numCache>
            </c:numRef>
          </c:val>
          <c:extLst>
            <c:ext xmlns:c16="http://schemas.microsoft.com/office/drawing/2014/chart" uri="{C3380CC4-5D6E-409C-BE32-E72D297353CC}">
              <c16:uniqueId val="{00000000-D711-41BB-AB64-95156892C127}"/>
            </c:ext>
          </c:extLst>
        </c:ser>
        <c:dLbls>
          <c:showLegendKey val="0"/>
          <c:showVal val="0"/>
          <c:showCatName val="0"/>
          <c:showSerName val="0"/>
          <c:showPercent val="0"/>
          <c:showBubbleSize val="0"/>
        </c:dLbls>
        <c:gapWidth val="219"/>
        <c:overlap val="-27"/>
        <c:axId val="836626368"/>
        <c:axId val="836627352"/>
      </c:barChart>
      <c:catAx>
        <c:axId val="83662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627352"/>
        <c:crosses val="autoZero"/>
        <c:auto val="1"/>
        <c:lblAlgn val="ctr"/>
        <c:lblOffset val="100"/>
        <c:noMultiLvlLbl val="0"/>
      </c:catAx>
      <c:valAx>
        <c:axId val="8366273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626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 Social</a:t>
            </a:r>
            <a:r>
              <a:rPr lang="en-US" baseline="0"/>
              <a:t> Housing Scenario</a:t>
            </a:r>
          </a:p>
          <a:p>
            <a:pPr>
              <a:defRPr/>
            </a:pPr>
            <a:r>
              <a:rPr lang="en-US"/>
              <a:t>Interactions Cluster $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'Interactions Dashboard'!$A$3</c:f>
              <c:strCache>
                <c:ptCount val="1"/>
                <c:pt idx="0">
                  <c:v>Interactions</c:v>
                </c:pt>
              </c:strCache>
            </c:strRef>
          </c:tx>
          <c:spPr>
            <a:solidFill>
              <a:schemeClr val="accent1"/>
            </a:solidFill>
            <a:ln>
              <a:noFill/>
            </a:ln>
            <a:effectLst/>
          </c:spPr>
          <c:invertIfNegative val="0"/>
          <c:cat>
            <c:strRef>
              <c:f>'Interactions Dashboard'!$B$2:$D$2</c:f>
              <c:strCache>
                <c:ptCount val="3"/>
                <c:pt idx="0">
                  <c:v>CBA</c:v>
                </c:pt>
                <c:pt idx="1">
                  <c:v>SROI</c:v>
                </c:pt>
                <c:pt idx="2">
                  <c:v>WV</c:v>
                </c:pt>
              </c:strCache>
            </c:strRef>
          </c:cat>
          <c:val>
            <c:numRef>
              <c:f>'Interactions Dashboard'!$B$3:$D$3</c:f>
              <c:numCache>
                <c:formatCode>"$"#,##0</c:formatCode>
                <c:ptCount val="3"/>
                <c:pt idx="0">
                  <c:v>37344.9</c:v>
                </c:pt>
                <c:pt idx="1">
                  <c:v>20670</c:v>
                </c:pt>
                <c:pt idx="2">
                  <c:v>4176.8999999999996</c:v>
                </c:pt>
              </c:numCache>
            </c:numRef>
          </c:val>
          <c:extLst>
            <c:ext xmlns:c16="http://schemas.microsoft.com/office/drawing/2014/chart" uri="{C3380CC4-5D6E-409C-BE32-E72D297353CC}">
              <c16:uniqueId val="{00000000-18AF-4AC9-A788-E593EFDFE125}"/>
            </c:ext>
          </c:extLst>
        </c:ser>
        <c:dLbls>
          <c:showLegendKey val="0"/>
          <c:showVal val="0"/>
          <c:showCatName val="0"/>
          <c:showSerName val="0"/>
          <c:showPercent val="0"/>
          <c:showBubbleSize val="0"/>
        </c:dLbls>
        <c:gapWidth val="219"/>
        <c:overlap val="-27"/>
        <c:axId val="849276880"/>
        <c:axId val="836671592"/>
      </c:barChart>
      <c:catAx>
        <c:axId val="84927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671592"/>
        <c:crosses val="autoZero"/>
        <c:auto val="1"/>
        <c:lblAlgn val="ctr"/>
        <c:lblOffset val="100"/>
        <c:noMultiLvlLbl val="0"/>
      </c:catAx>
      <c:valAx>
        <c:axId val="8366715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276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Economy Impact Domain</a:t>
            </a:r>
          </a:p>
          <a:p>
            <a:pPr>
              <a:defRPr/>
            </a:pPr>
            <a:r>
              <a:rPr lang="en-AU"/>
              <a:t>$ ROI</a:t>
            </a:r>
          </a:p>
        </c:rich>
      </c:tx>
      <c:layout>
        <c:manualLayout>
          <c:xMode val="edge"/>
          <c:yMode val="edge"/>
          <c:x val="0.40397228723385092"/>
          <c:y val="3.51169785326517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D2 Economy Dashboard'!$B$2</c:f>
              <c:strCache>
                <c:ptCount val="1"/>
                <c:pt idx="0">
                  <c:v>CBA</c:v>
                </c:pt>
              </c:strCache>
            </c:strRef>
          </c:tx>
          <c:spPr>
            <a:solidFill>
              <a:schemeClr val="accent1"/>
            </a:solidFill>
            <a:ln>
              <a:noFill/>
            </a:ln>
            <a:effectLst/>
          </c:spPr>
          <c:invertIfNegative val="0"/>
          <c:cat>
            <c:strRef>
              <c:f>' D2 Economy Dashboard'!$A$3:$A$6</c:f>
              <c:strCache>
                <c:ptCount val="4"/>
                <c:pt idx="0">
                  <c:v>Govts &amp; Organisations</c:v>
                </c:pt>
                <c:pt idx="1">
                  <c:v>Households</c:v>
                </c:pt>
                <c:pt idx="2">
                  <c:v>Value of Equity</c:v>
                </c:pt>
                <c:pt idx="3">
                  <c:v>Economic Systems</c:v>
                </c:pt>
              </c:strCache>
            </c:strRef>
          </c:cat>
          <c:val>
            <c:numRef>
              <c:f>' D2 Economy Dashboard'!$B$3:$B$6</c:f>
              <c:numCache>
                <c:formatCode>"$"#,##0</c:formatCode>
                <c:ptCount val="4"/>
                <c:pt idx="0">
                  <c:v>5608</c:v>
                </c:pt>
                <c:pt idx="1">
                  <c:v>0</c:v>
                </c:pt>
                <c:pt idx="2">
                  <c:v>0</c:v>
                </c:pt>
                <c:pt idx="3">
                  <c:v>0</c:v>
                </c:pt>
              </c:numCache>
            </c:numRef>
          </c:val>
          <c:extLst>
            <c:ext xmlns:c16="http://schemas.microsoft.com/office/drawing/2014/chart" uri="{C3380CC4-5D6E-409C-BE32-E72D297353CC}">
              <c16:uniqueId val="{00000000-8F18-4038-B18F-9DAE9BD52EA2}"/>
            </c:ext>
          </c:extLst>
        </c:ser>
        <c:ser>
          <c:idx val="1"/>
          <c:order val="1"/>
          <c:tx>
            <c:strRef>
              <c:f>' D2 Economy Dashboard'!$C$2</c:f>
              <c:strCache>
                <c:ptCount val="1"/>
                <c:pt idx="0">
                  <c:v>SROI</c:v>
                </c:pt>
              </c:strCache>
            </c:strRef>
          </c:tx>
          <c:spPr>
            <a:solidFill>
              <a:schemeClr val="accent2"/>
            </a:solidFill>
            <a:ln>
              <a:noFill/>
            </a:ln>
            <a:effectLst/>
          </c:spPr>
          <c:invertIfNegative val="0"/>
          <c:cat>
            <c:strRef>
              <c:f>' D2 Economy Dashboard'!$A$3:$A$6</c:f>
              <c:strCache>
                <c:ptCount val="4"/>
                <c:pt idx="0">
                  <c:v>Govts &amp; Organisations</c:v>
                </c:pt>
                <c:pt idx="1">
                  <c:v>Households</c:v>
                </c:pt>
                <c:pt idx="2">
                  <c:v>Value of Equity</c:v>
                </c:pt>
                <c:pt idx="3">
                  <c:v>Economic Systems</c:v>
                </c:pt>
              </c:strCache>
            </c:strRef>
          </c:cat>
          <c:val>
            <c:numRef>
              <c:f>' D2 Economy Dashboard'!$C$3:$C$6</c:f>
              <c:numCache>
                <c:formatCode>"$"#,##0</c:formatCode>
                <c:ptCount val="4"/>
                <c:pt idx="0">
                  <c:v>0</c:v>
                </c:pt>
                <c:pt idx="1">
                  <c:v>9781.6</c:v>
                </c:pt>
                <c:pt idx="2">
                  <c:v>0</c:v>
                </c:pt>
                <c:pt idx="3">
                  <c:v>0</c:v>
                </c:pt>
              </c:numCache>
            </c:numRef>
          </c:val>
          <c:extLst>
            <c:ext xmlns:c16="http://schemas.microsoft.com/office/drawing/2014/chart" uri="{C3380CC4-5D6E-409C-BE32-E72D297353CC}">
              <c16:uniqueId val="{00000001-8F18-4038-B18F-9DAE9BD52EA2}"/>
            </c:ext>
          </c:extLst>
        </c:ser>
        <c:ser>
          <c:idx val="2"/>
          <c:order val="2"/>
          <c:tx>
            <c:strRef>
              <c:f>' D2 Economy Dashboard'!$D$2</c:f>
              <c:strCache>
                <c:ptCount val="1"/>
                <c:pt idx="0">
                  <c:v>WV</c:v>
                </c:pt>
              </c:strCache>
            </c:strRef>
          </c:tx>
          <c:spPr>
            <a:solidFill>
              <a:schemeClr val="accent3"/>
            </a:solidFill>
            <a:ln>
              <a:noFill/>
            </a:ln>
            <a:effectLst/>
          </c:spPr>
          <c:invertIfNegative val="0"/>
          <c:cat>
            <c:strRef>
              <c:f>' D2 Economy Dashboard'!$A$3:$A$6</c:f>
              <c:strCache>
                <c:ptCount val="4"/>
                <c:pt idx="0">
                  <c:v>Govts &amp; Organisations</c:v>
                </c:pt>
                <c:pt idx="1">
                  <c:v>Households</c:v>
                </c:pt>
                <c:pt idx="2">
                  <c:v>Value of Equity</c:v>
                </c:pt>
                <c:pt idx="3">
                  <c:v>Economic Systems</c:v>
                </c:pt>
              </c:strCache>
            </c:strRef>
          </c:cat>
          <c:val>
            <c:numRef>
              <c:f>' D2 Economy Dashboard'!$D$3:$D$6</c:f>
              <c:numCache>
                <c:formatCode>"$"#,##0</c:formatCode>
                <c:ptCount val="4"/>
                <c:pt idx="0">
                  <c:v>0</c:v>
                </c:pt>
                <c:pt idx="1">
                  <c:v>16399.900000000001</c:v>
                </c:pt>
                <c:pt idx="2">
                  <c:v>0</c:v>
                </c:pt>
                <c:pt idx="3">
                  <c:v>0</c:v>
                </c:pt>
              </c:numCache>
            </c:numRef>
          </c:val>
          <c:extLst>
            <c:ext xmlns:c16="http://schemas.microsoft.com/office/drawing/2014/chart" uri="{C3380CC4-5D6E-409C-BE32-E72D297353CC}">
              <c16:uniqueId val="{00000002-8F18-4038-B18F-9DAE9BD52EA2}"/>
            </c:ext>
          </c:extLst>
        </c:ser>
        <c:dLbls>
          <c:showLegendKey val="0"/>
          <c:showVal val="0"/>
          <c:showCatName val="0"/>
          <c:showSerName val="0"/>
          <c:showPercent val="0"/>
          <c:showBubbleSize val="0"/>
        </c:dLbls>
        <c:gapWidth val="219"/>
        <c:overlap val="-27"/>
        <c:axId val="539307872"/>
        <c:axId val="539308200"/>
      </c:barChart>
      <c:catAx>
        <c:axId val="53930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308200"/>
        <c:crosses val="autoZero"/>
        <c:auto val="1"/>
        <c:lblAlgn val="ctr"/>
        <c:lblOffset val="100"/>
        <c:noMultiLvlLbl val="0"/>
      </c:catAx>
      <c:valAx>
        <c:axId val="539308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930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Education Impact Domain </a:t>
            </a:r>
          </a:p>
          <a:p>
            <a:pPr>
              <a:defRPr/>
            </a:pPr>
            <a:r>
              <a:rPr lang="en-AU"/>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'D3 Education Dashboard'!$B$2</c:f>
              <c:strCache>
                <c:ptCount val="1"/>
                <c:pt idx="0">
                  <c:v>CBA</c:v>
                </c:pt>
              </c:strCache>
            </c:strRef>
          </c:tx>
          <c:spPr>
            <a:solidFill>
              <a:schemeClr val="accent1"/>
            </a:solidFill>
            <a:ln>
              <a:noFill/>
            </a:ln>
            <a:effectLst/>
          </c:spPr>
          <c:invertIfNegative val="0"/>
          <c:cat>
            <c:strRef>
              <c:f>'D3 Education Dashboard'!$A$3:$A$4</c:f>
              <c:strCache>
                <c:ptCount val="2"/>
                <c:pt idx="0">
                  <c:v>Participation </c:v>
                </c:pt>
                <c:pt idx="1">
                  <c:v>Performance</c:v>
                </c:pt>
              </c:strCache>
            </c:strRef>
          </c:cat>
          <c:val>
            <c:numRef>
              <c:f>'D3 Education Dashboard'!$B$3:$B$4</c:f>
              <c:numCache>
                <c:formatCode>"$"#,##0</c:formatCode>
                <c:ptCount val="2"/>
                <c:pt idx="0">
                  <c:v>168</c:v>
                </c:pt>
                <c:pt idx="1">
                  <c:v>6208.6</c:v>
                </c:pt>
              </c:numCache>
            </c:numRef>
          </c:val>
          <c:extLst>
            <c:ext xmlns:c16="http://schemas.microsoft.com/office/drawing/2014/chart" uri="{C3380CC4-5D6E-409C-BE32-E72D297353CC}">
              <c16:uniqueId val="{00000000-EB04-4FB2-9E96-1FFC9ADE5B84}"/>
            </c:ext>
          </c:extLst>
        </c:ser>
        <c:ser>
          <c:idx val="1"/>
          <c:order val="1"/>
          <c:tx>
            <c:strRef>
              <c:f>'D3 Education Dashboard'!$C$2</c:f>
              <c:strCache>
                <c:ptCount val="1"/>
                <c:pt idx="0">
                  <c:v>SROI</c:v>
                </c:pt>
              </c:strCache>
            </c:strRef>
          </c:tx>
          <c:spPr>
            <a:solidFill>
              <a:schemeClr val="accent2"/>
            </a:solidFill>
            <a:ln>
              <a:noFill/>
            </a:ln>
            <a:effectLst/>
          </c:spPr>
          <c:invertIfNegative val="0"/>
          <c:cat>
            <c:strRef>
              <c:f>'D3 Education Dashboard'!$A$3:$A$4</c:f>
              <c:strCache>
                <c:ptCount val="2"/>
                <c:pt idx="0">
                  <c:v>Participation </c:v>
                </c:pt>
                <c:pt idx="1">
                  <c:v>Performance</c:v>
                </c:pt>
              </c:strCache>
            </c:strRef>
          </c:cat>
          <c:val>
            <c:numRef>
              <c:f>'D3 Education Dashboard'!$C$3:$C$4</c:f>
              <c:numCache>
                <c:formatCode>"$"#,##0</c:formatCode>
                <c:ptCount val="2"/>
                <c:pt idx="0">
                  <c:v>5410.750500000001</c:v>
                </c:pt>
                <c:pt idx="1">
                  <c:v>23948.396100000002</c:v>
                </c:pt>
              </c:numCache>
            </c:numRef>
          </c:val>
          <c:extLst>
            <c:ext xmlns:c16="http://schemas.microsoft.com/office/drawing/2014/chart" uri="{C3380CC4-5D6E-409C-BE32-E72D297353CC}">
              <c16:uniqueId val="{00000001-EB04-4FB2-9E96-1FFC9ADE5B84}"/>
            </c:ext>
          </c:extLst>
        </c:ser>
        <c:ser>
          <c:idx val="2"/>
          <c:order val="2"/>
          <c:tx>
            <c:strRef>
              <c:f>'D3 Education Dashboard'!$D$2</c:f>
              <c:strCache>
                <c:ptCount val="1"/>
                <c:pt idx="0">
                  <c:v>WV</c:v>
                </c:pt>
              </c:strCache>
            </c:strRef>
          </c:tx>
          <c:spPr>
            <a:solidFill>
              <a:schemeClr val="accent3"/>
            </a:solidFill>
            <a:ln>
              <a:noFill/>
            </a:ln>
            <a:effectLst/>
          </c:spPr>
          <c:invertIfNegative val="0"/>
          <c:cat>
            <c:strRef>
              <c:f>'D3 Education Dashboard'!$A$3:$A$4</c:f>
              <c:strCache>
                <c:ptCount val="2"/>
                <c:pt idx="0">
                  <c:v>Participation </c:v>
                </c:pt>
                <c:pt idx="1">
                  <c:v>Performance</c:v>
                </c:pt>
              </c:strCache>
            </c:strRef>
          </c:cat>
          <c:val>
            <c:numRef>
              <c:f>'D3 Education Dashboard'!$D$3:$D$4</c:f>
              <c:numCache>
                <c:formatCode>"$"#,##0</c:formatCode>
                <c:ptCount val="2"/>
                <c:pt idx="0">
                  <c:v>7119.6</c:v>
                </c:pt>
                <c:pt idx="1">
                  <c:v>0</c:v>
                </c:pt>
              </c:numCache>
            </c:numRef>
          </c:val>
          <c:extLst>
            <c:ext xmlns:c16="http://schemas.microsoft.com/office/drawing/2014/chart" uri="{C3380CC4-5D6E-409C-BE32-E72D297353CC}">
              <c16:uniqueId val="{00000002-EB04-4FB2-9E96-1FFC9ADE5B84}"/>
            </c:ext>
          </c:extLst>
        </c:ser>
        <c:dLbls>
          <c:showLegendKey val="0"/>
          <c:showVal val="0"/>
          <c:showCatName val="0"/>
          <c:showSerName val="0"/>
          <c:showPercent val="0"/>
          <c:showBubbleSize val="0"/>
        </c:dLbls>
        <c:gapWidth val="219"/>
        <c:overlap val="-27"/>
        <c:axId val="850126912"/>
        <c:axId val="850129536"/>
      </c:barChart>
      <c:catAx>
        <c:axId val="85012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129536"/>
        <c:crosses val="autoZero"/>
        <c:auto val="1"/>
        <c:lblAlgn val="ctr"/>
        <c:lblOffset val="100"/>
        <c:noMultiLvlLbl val="0"/>
      </c:catAx>
      <c:valAx>
        <c:axId val="8501295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126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Employment</a:t>
            </a:r>
            <a:r>
              <a:rPr lang="en-US" baseline="0"/>
              <a:t> I</a:t>
            </a:r>
            <a:r>
              <a:rPr lang="en-US"/>
              <a:t>mpact Domain</a:t>
            </a:r>
          </a:p>
          <a:p>
            <a:pPr>
              <a:defRPr/>
            </a:pPr>
            <a:r>
              <a:rPr lang="en-US"/>
              <a:t>$ ROI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'D4 Employment Dashboard'!$A$3</c:f>
              <c:strCache>
                <c:ptCount val="1"/>
                <c:pt idx="0">
                  <c:v>Employment </c:v>
                </c:pt>
              </c:strCache>
            </c:strRef>
          </c:tx>
          <c:spPr>
            <a:solidFill>
              <a:schemeClr val="accent1"/>
            </a:solidFill>
            <a:ln>
              <a:noFill/>
            </a:ln>
            <a:effectLst/>
          </c:spPr>
          <c:invertIfNegative val="0"/>
          <c:cat>
            <c:strRef>
              <c:f>'D4 Employment Dashboard'!$B$1:$D$2</c:f>
              <c:strCache>
                <c:ptCount val="3"/>
                <c:pt idx="0">
                  <c:v>CBA</c:v>
                </c:pt>
                <c:pt idx="1">
                  <c:v>SROI</c:v>
                </c:pt>
                <c:pt idx="2">
                  <c:v>WV</c:v>
                </c:pt>
              </c:strCache>
            </c:strRef>
          </c:cat>
          <c:val>
            <c:numRef>
              <c:f>'D4 Employment Dashboard'!$B$3:$D$3</c:f>
              <c:numCache>
                <c:formatCode>"$"#,##0</c:formatCode>
                <c:ptCount val="3"/>
                <c:pt idx="0">
                  <c:v>17784</c:v>
                </c:pt>
                <c:pt idx="1">
                  <c:v>0</c:v>
                </c:pt>
                <c:pt idx="2">
                  <c:v>2089.2999999999997</c:v>
                </c:pt>
              </c:numCache>
            </c:numRef>
          </c:val>
          <c:extLst>
            <c:ext xmlns:c16="http://schemas.microsoft.com/office/drawing/2014/chart" uri="{C3380CC4-5D6E-409C-BE32-E72D297353CC}">
              <c16:uniqueId val="{00000000-49EB-4BF7-855F-7C41388C14FD}"/>
            </c:ext>
          </c:extLst>
        </c:ser>
        <c:dLbls>
          <c:showLegendKey val="0"/>
          <c:showVal val="0"/>
          <c:showCatName val="0"/>
          <c:showSerName val="0"/>
          <c:showPercent val="0"/>
          <c:showBubbleSize val="0"/>
        </c:dLbls>
        <c:gapWidth val="219"/>
        <c:overlap val="-27"/>
        <c:axId val="596603128"/>
        <c:axId val="596604112"/>
      </c:barChart>
      <c:catAx>
        <c:axId val="596603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604112"/>
        <c:crosses val="autoZero"/>
        <c:auto val="1"/>
        <c:lblAlgn val="ctr"/>
        <c:lblOffset val="100"/>
        <c:noMultiLvlLbl val="0"/>
      </c:catAx>
      <c:valAx>
        <c:axId val="5966041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603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Environment Impact Domain</a:t>
            </a:r>
          </a:p>
          <a:p>
            <a:pPr>
              <a:defRPr/>
            </a:pPr>
            <a:r>
              <a:rPr lang="en-US"/>
              <a:t>$ ROI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D5 Environment Dashboard'!$A$3</c:f>
              <c:strCache>
                <c:ptCount val="1"/>
                <c:pt idx="0">
                  <c:v>Employment </c:v>
                </c:pt>
              </c:strCache>
            </c:strRef>
          </c:tx>
          <c:spPr>
            <a:solidFill>
              <a:schemeClr val="accent1"/>
            </a:solidFill>
            <a:ln>
              <a:noFill/>
            </a:ln>
            <a:effectLst/>
          </c:spPr>
          <c:invertIfNegative val="0"/>
          <c:cat>
            <c:strRef>
              <c:f>' D5 Environment Dashboard'!$B$2:$D$2</c:f>
              <c:strCache>
                <c:ptCount val="3"/>
                <c:pt idx="0">
                  <c:v>CBA</c:v>
                </c:pt>
                <c:pt idx="1">
                  <c:v>SROI</c:v>
                </c:pt>
                <c:pt idx="2">
                  <c:v>WV</c:v>
                </c:pt>
              </c:strCache>
            </c:strRef>
          </c:cat>
          <c:val>
            <c:numRef>
              <c:f>' D5 Environment Dashboard'!$B$3:$D$3</c:f>
              <c:numCache>
                <c:formatCode>"$"#,##0</c:formatCode>
                <c:ptCount val="3"/>
                <c:pt idx="0">
                  <c:v>0</c:v>
                </c:pt>
                <c:pt idx="1">
                  <c:v>0</c:v>
                </c:pt>
                <c:pt idx="2">
                  <c:v>0</c:v>
                </c:pt>
              </c:numCache>
            </c:numRef>
          </c:val>
          <c:extLst>
            <c:ext xmlns:c16="http://schemas.microsoft.com/office/drawing/2014/chart" uri="{C3380CC4-5D6E-409C-BE32-E72D297353CC}">
              <c16:uniqueId val="{00000000-4D2A-465E-AA9E-0961270823E8}"/>
            </c:ext>
          </c:extLst>
        </c:ser>
        <c:dLbls>
          <c:showLegendKey val="0"/>
          <c:showVal val="0"/>
          <c:showCatName val="0"/>
          <c:showSerName val="0"/>
          <c:showPercent val="0"/>
          <c:showBubbleSize val="0"/>
        </c:dLbls>
        <c:gapWidth val="219"/>
        <c:overlap val="-27"/>
        <c:axId val="745646848"/>
        <c:axId val="745647176"/>
      </c:barChart>
      <c:catAx>
        <c:axId val="74564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647176"/>
        <c:crosses val="autoZero"/>
        <c:auto val="1"/>
        <c:lblAlgn val="ctr"/>
        <c:lblOffset val="100"/>
        <c:noMultiLvlLbl val="0"/>
      </c:catAx>
      <c:valAx>
        <c:axId val="7456471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646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Health and Wellbeing Impact Domain</a:t>
            </a:r>
            <a:endParaRPr lang="en-AU" baseline="0"/>
          </a:p>
          <a:p>
            <a:pPr>
              <a:defRPr/>
            </a:pPr>
            <a:r>
              <a:rPr lang="en-AU" baseline="0"/>
              <a:t>$ ROI</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'D6 Health Wellbeing Dashboard'!$A$3</c:f>
              <c:strCache>
                <c:ptCount val="1"/>
                <c:pt idx="0">
                  <c:v>Health</c:v>
                </c:pt>
              </c:strCache>
            </c:strRef>
          </c:tx>
          <c:spPr>
            <a:solidFill>
              <a:schemeClr val="accent1"/>
            </a:solidFill>
            <a:ln>
              <a:noFill/>
            </a:ln>
            <a:effectLst/>
          </c:spPr>
          <c:invertIfNegative val="0"/>
          <c:cat>
            <c:strRef>
              <c:f>'D6 Health Wellbeing Dashboard'!$B$2:$D$2</c:f>
              <c:strCache>
                <c:ptCount val="3"/>
                <c:pt idx="0">
                  <c:v>CBA</c:v>
                </c:pt>
                <c:pt idx="1">
                  <c:v>SROI</c:v>
                </c:pt>
                <c:pt idx="2">
                  <c:v>WV</c:v>
                </c:pt>
              </c:strCache>
            </c:strRef>
          </c:cat>
          <c:val>
            <c:numRef>
              <c:f>'D6 Health Wellbeing Dashboard'!$B$3:$D$3</c:f>
              <c:numCache>
                <c:formatCode>"$"#,##0</c:formatCode>
                <c:ptCount val="3"/>
                <c:pt idx="0">
                  <c:v>34868.78</c:v>
                </c:pt>
                <c:pt idx="1">
                  <c:v>0</c:v>
                </c:pt>
                <c:pt idx="2">
                  <c:v>0</c:v>
                </c:pt>
              </c:numCache>
            </c:numRef>
          </c:val>
          <c:extLst>
            <c:ext xmlns:c16="http://schemas.microsoft.com/office/drawing/2014/chart" uri="{C3380CC4-5D6E-409C-BE32-E72D297353CC}">
              <c16:uniqueId val="{00000000-C675-4669-92A5-3EA69A07F6E8}"/>
            </c:ext>
          </c:extLst>
        </c:ser>
        <c:ser>
          <c:idx val="1"/>
          <c:order val="1"/>
          <c:tx>
            <c:strRef>
              <c:f>'D6 Health Wellbeing Dashboard'!$A$4</c:f>
              <c:strCache>
                <c:ptCount val="1"/>
                <c:pt idx="0">
                  <c:v>Wellbeing </c:v>
                </c:pt>
              </c:strCache>
            </c:strRef>
          </c:tx>
          <c:spPr>
            <a:solidFill>
              <a:schemeClr val="accent2"/>
            </a:solidFill>
            <a:ln>
              <a:noFill/>
            </a:ln>
            <a:effectLst/>
          </c:spPr>
          <c:invertIfNegative val="0"/>
          <c:cat>
            <c:strRef>
              <c:f>'D6 Health Wellbeing Dashboard'!$B$2:$D$2</c:f>
              <c:strCache>
                <c:ptCount val="3"/>
                <c:pt idx="0">
                  <c:v>CBA</c:v>
                </c:pt>
                <c:pt idx="1">
                  <c:v>SROI</c:v>
                </c:pt>
                <c:pt idx="2">
                  <c:v>WV</c:v>
                </c:pt>
              </c:strCache>
            </c:strRef>
          </c:cat>
          <c:val>
            <c:numRef>
              <c:f>'D6 Health Wellbeing Dashboard'!$B$4:$D$4</c:f>
              <c:numCache>
                <c:formatCode>"$"#,##0</c:formatCode>
                <c:ptCount val="3"/>
                <c:pt idx="0">
                  <c:v>0</c:v>
                </c:pt>
                <c:pt idx="1">
                  <c:v>3962.7000000000003</c:v>
                </c:pt>
                <c:pt idx="2">
                  <c:v>21926.6</c:v>
                </c:pt>
              </c:numCache>
            </c:numRef>
          </c:val>
          <c:extLst>
            <c:ext xmlns:c16="http://schemas.microsoft.com/office/drawing/2014/chart" uri="{C3380CC4-5D6E-409C-BE32-E72D297353CC}">
              <c16:uniqueId val="{00000001-C675-4669-92A5-3EA69A07F6E8}"/>
            </c:ext>
          </c:extLst>
        </c:ser>
        <c:dLbls>
          <c:showLegendKey val="0"/>
          <c:showVal val="0"/>
          <c:showCatName val="0"/>
          <c:showSerName val="0"/>
          <c:showPercent val="0"/>
          <c:showBubbleSize val="0"/>
        </c:dLbls>
        <c:gapWidth val="219"/>
        <c:overlap val="-27"/>
        <c:axId val="748924648"/>
        <c:axId val="748926944"/>
      </c:barChart>
      <c:catAx>
        <c:axId val="748924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8926944"/>
        <c:crosses val="autoZero"/>
        <c:auto val="1"/>
        <c:lblAlgn val="ctr"/>
        <c:lblOffset val="100"/>
        <c:noMultiLvlLbl val="0"/>
      </c:catAx>
      <c:valAx>
        <c:axId val="7489269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8924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Housing Impact Domain</a:t>
            </a:r>
          </a:p>
          <a:p>
            <a:pPr>
              <a:defRPr/>
            </a:pPr>
            <a:r>
              <a:rPr lang="en-AU"/>
              <a:t>$</a:t>
            </a:r>
            <a:r>
              <a:rPr lang="en-AU" baseline="0"/>
              <a:t> ROI</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'D7 Housing Dashboard'!$A$3</c:f>
              <c:strCache>
                <c:ptCount val="1"/>
                <c:pt idx="0">
                  <c:v>Dwelling and tenancy</c:v>
                </c:pt>
              </c:strCache>
            </c:strRef>
          </c:tx>
          <c:spPr>
            <a:solidFill>
              <a:schemeClr val="accent1"/>
            </a:solidFill>
            <a:ln>
              <a:noFill/>
            </a:ln>
            <a:effectLst/>
          </c:spPr>
          <c:invertIfNegative val="0"/>
          <c:cat>
            <c:strRef>
              <c:f>'D7 Housing Dashboard'!$B$2:$D$2</c:f>
              <c:strCache>
                <c:ptCount val="3"/>
                <c:pt idx="0">
                  <c:v>CBA</c:v>
                </c:pt>
                <c:pt idx="1">
                  <c:v>SROI</c:v>
                </c:pt>
                <c:pt idx="2">
                  <c:v>WV</c:v>
                </c:pt>
              </c:strCache>
            </c:strRef>
          </c:cat>
          <c:val>
            <c:numRef>
              <c:f>'D7 Housing Dashboard'!$B$3:$D$3</c:f>
              <c:numCache>
                <c:formatCode>"$"#,##0</c:formatCode>
                <c:ptCount val="3"/>
                <c:pt idx="0">
                  <c:v>17000</c:v>
                </c:pt>
                <c:pt idx="1">
                  <c:v>0</c:v>
                </c:pt>
                <c:pt idx="2">
                  <c:v>0</c:v>
                </c:pt>
              </c:numCache>
            </c:numRef>
          </c:val>
          <c:extLst>
            <c:ext xmlns:c16="http://schemas.microsoft.com/office/drawing/2014/chart" uri="{C3380CC4-5D6E-409C-BE32-E72D297353CC}">
              <c16:uniqueId val="{00000000-AE32-4D92-8D2B-BA159D4FBC23}"/>
            </c:ext>
          </c:extLst>
        </c:ser>
        <c:ser>
          <c:idx val="1"/>
          <c:order val="1"/>
          <c:tx>
            <c:strRef>
              <c:f>'D7 Housing Dashboard'!$A$4</c:f>
              <c:strCache>
                <c:ptCount val="1"/>
                <c:pt idx="0">
                  <c:v>Livability </c:v>
                </c:pt>
              </c:strCache>
            </c:strRef>
          </c:tx>
          <c:spPr>
            <a:solidFill>
              <a:schemeClr val="accent2"/>
            </a:solidFill>
            <a:ln>
              <a:noFill/>
            </a:ln>
            <a:effectLst/>
          </c:spPr>
          <c:invertIfNegative val="0"/>
          <c:cat>
            <c:strRef>
              <c:f>'D7 Housing Dashboard'!$B$2:$D$2</c:f>
              <c:strCache>
                <c:ptCount val="3"/>
                <c:pt idx="0">
                  <c:v>CBA</c:v>
                </c:pt>
                <c:pt idx="1">
                  <c:v>SROI</c:v>
                </c:pt>
                <c:pt idx="2">
                  <c:v>WV</c:v>
                </c:pt>
              </c:strCache>
            </c:strRef>
          </c:cat>
          <c:val>
            <c:numRef>
              <c:f>'D7 Housing Dashboard'!$B$4:$D$4</c:f>
              <c:numCache>
                <c:formatCode>"$"#,##0</c:formatCode>
                <c:ptCount val="3"/>
                <c:pt idx="0">
                  <c:v>0</c:v>
                </c:pt>
                <c:pt idx="1">
                  <c:v>0</c:v>
                </c:pt>
                <c:pt idx="2">
                  <c:v>0</c:v>
                </c:pt>
              </c:numCache>
            </c:numRef>
          </c:val>
          <c:extLst>
            <c:ext xmlns:c16="http://schemas.microsoft.com/office/drawing/2014/chart" uri="{C3380CC4-5D6E-409C-BE32-E72D297353CC}">
              <c16:uniqueId val="{00000001-AE32-4D92-8D2B-BA159D4FBC23}"/>
            </c:ext>
          </c:extLst>
        </c:ser>
        <c:dLbls>
          <c:showLegendKey val="0"/>
          <c:showVal val="0"/>
          <c:showCatName val="0"/>
          <c:showSerName val="0"/>
          <c:showPercent val="0"/>
          <c:showBubbleSize val="0"/>
        </c:dLbls>
        <c:gapWidth val="219"/>
        <c:overlap val="-27"/>
        <c:axId val="745679008"/>
        <c:axId val="745679336"/>
      </c:barChart>
      <c:catAx>
        <c:axId val="74567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679336"/>
        <c:crosses val="autoZero"/>
        <c:auto val="1"/>
        <c:lblAlgn val="ctr"/>
        <c:lblOffset val="100"/>
        <c:noMultiLvlLbl val="0"/>
      </c:catAx>
      <c:valAx>
        <c:axId val="745679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67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Social Engagement Impact Domain</a:t>
            </a:r>
          </a:p>
          <a:p>
            <a:pPr>
              <a:defRPr/>
            </a:pPr>
            <a:r>
              <a:rPr lang="en-AU"/>
              <a:t>$ ROI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'D8 Social Engagement Dashboard'!$A$3</c:f>
              <c:strCache>
                <c:ptCount val="1"/>
                <c:pt idx="0">
                  <c:v>Social wellbeing</c:v>
                </c:pt>
              </c:strCache>
            </c:strRef>
          </c:tx>
          <c:spPr>
            <a:solidFill>
              <a:schemeClr val="accent1"/>
            </a:solidFill>
            <a:ln>
              <a:noFill/>
            </a:ln>
            <a:effectLst/>
          </c:spPr>
          <c:invertIfNegative val="0"/>
          <c:cat>
            <c:strRef>
              <c:f>'D8 Social Engagement Dashboard'!$B$2:$D$2</c:f>
              <c:strCache>
                <c:ptCount val="3"/>
                <c:pt idx="0">
                  <c:v>CBA</c:v>
                </c:pt>
                <c:pt idx="1">
                  <c:v>SROI</c:v>
                </c:pt>
                <c:pt idx="2">
                  <c:v>WV</c:v>
                </c:pt>
              </c:strCache>
            </c:strRef>
          </c:cat>
          <c:val>
            <c:numRef>
              <c:f>'D8 Social Engagement Dashboard'!$B$3:$D$3</c:f>
              <c:numCache>
                <c:formatCode>"$"#,##0</c:formatCode>
                <c:ptCount val="3"/>
                <c:pt idx="0">
                  <c:v>1988.1</c:v>
                </c:pt>
                <c:pt idx="1">
                  <c:v>0</c:v>
                </c:pt>
                <c:pt idx="2">
                  <c:v>32481.899999999998</c:v>
                </c:pt>
              </c:numCache>
            </c:numRef>
          </c:val>
          <c:extLst>
            <c:ext xmlns:c16="http://schemas.microsoft.com/office/drawing/2014/chart" uri="{C3380CC4-5D6E-409C-BE32-E72D297353CC}">
              <c16:uniqueId val="{00000000-A37F-48EE-9AA0-78E2541EDFCF}"/>
            </c:ext>
          </c:extLst>
        </c:ser>
        <c:ser>
          <c:idx val="1"/>
          <c:order val="1"/>
          <c:tx>
            <c:strRef>
              <c:f>'D8 Social Engagement Dashboard'!$A$4</c:f>
              <c:strCache>
                <c:ptCount val="1"/>
                <c:pt idx="0">
                  <c:v>Neighbourhood wellbeing </c:v>
                </c:pt>
              </c:strCache>
            </c:strRef>
          </c:tx>
          <c:spPr>
            <a:solidFill>
              <a:schemeClr val="accent2"/>
            </a:solidFill>
            <a:ln>
              <a:noFill/>
            </a:ln>
            <a:effectLst/>
          </c:spPr>
          <c:invertIfNegative val="0"/>
          <c:cat>
            <c:strRef>
              <c:f>'D8 Social Engagement Dashboard'!$B$2:$D$2</c:f>
              <c:strCache>
                <c:ptCount val="3"/>
                <c:pt idx="0">
                  <c:v>CBA</c:v>
                </c:pt>
                <c:pt idx="1">
                  <c:v>SROI</c:v>
                </c:pt>
                <c:pt idx="2">
                  <c:v>WV</c:v>
                </c:pt>
              </c:strCache>
            </c:strRef>
          </c:cat>
          <c:val>
            <c:numRef>
              <c:f>'D8 Social Engagement Dashboard'!$B$4:$D$4</c:f>
              <c:numCache>
                <c:formatCode>"$"#,##0</c:formatCode>
                <c:ptCount val="3"/>
                <c:pt idx="0">
                  <c:v>0</c:v>
                </c:pt>
                <c:pt idx="1">
                  <c:v>0</c:v>
                </c:pt>
                <c:pt idx="2">
                  <c:v>33423.699999999997</c:v>
                </c:pt>
              </c:numCache>
            </c:numRef>
          </c:val>
          <c:extLst>
            <c:ext xmlns:c16="http://schemas.microsoft.com/office/drawing/2014/chart" uri="{C3380CC4-5D6E-409C-BE32-E72D297353CC}">
              <c16:uniqueId val="{00000001-A37F-48EE-9AA0-78E2541EDFCF}"/>
            </c:ext>
          </c:extLst>
        </c:ser>
        <c:dLbls>
          <c:showLegendKey val="0"/>
          <c:showVal val="0"/>
          <c:showCatName val="0"/>
          <c:showSerName val="0"/>
          <c:showPercent val="0"/>
          <c:showBubbleSize val="0"/>
        </c:dLbls>
        <c:gapWidth val="219"/>
        <c:overlap val="-27"/>
        <c:axId val="507447736"/>
        <c:axId val="507446424"/>
      </c:barChart>
      <c:catAx>
        <c:axId val="50744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46424"/>
        <c:crosses val="autoZero"/>
        <c:auto val="1"/>
        <c:lblAlgn val="ctr"/>
        <c:lblOffset val="100"/>
        <c:noMultiLvlLbl val="0"/>
      </c:catAx>
      <c:valAx>
        <c:axId val="5074464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447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Urban Amenity Impact Domain</a:t>
            </a:r>
          </a:p>
          <a:p>
            <a:pPr>
              <a:defRPr/>
            </a:pPr>
            <a:r>
              <a:rPr lang="en-AU"/>
              <a:t>$</a:t>
            </a:r>
            <a:r>
              <a:rPr lang="en-AU" baseline="0"/>
              <a:t> ROI</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'D9 Urban Amenity Dashboard'!$A$3</c:f>
              <c:strCache>
                <c:ptCount val="1"/>
                <c:pt idx="0">
                  <c:v>Placemaking</c:v>
                </c:pt>
              </c:strCache>
            </c:strRef>
          </c:tx>
          <c:spPr>
            <a:solidFill>
              <a:schemeClr val="accent1"/>
            </a:solidFill>
            <a:ln>
              <a:noFill/>
            </a:ln>
            <a:effectLst/>
          </c:spPr>
          <c:invertIfNegative val="0"/>
          <c:cat>
            <c:strRef>
              <c:f>'D9 Urban Amenity Dashboard'!$B$2:$D$2</c:f>
              <c:strCache>
                <c:ptCount val="3"/>
                <c:pt idx="0">
                  <c:v>CBA</c:v>
                </c:pt>
                <c:pt idx="1">
                  <c:v>SROI</c:v>
                </c:pt>
                <c:pt idx="2">
                  <c:v>WV</c:v>
                </c:pt>
              </c:strCache>
            </c:strRef>
          </c:cat>
          <c:val>
            <c:numRef>
              <c:f>'D9 Urban Amenity Dashboard'!$B$3:$D$3</c:f>
              <c:numCache>
                <c:formatCode>"$"#,##0</c:formatCode>
                <c:ptCount val="3"/>
                <c:pt idx="0">
                  <c:v>0</c:v>
                </c:pt>
                <c:pt idx="1">
                  <c:v>0</c:v>
                </c:pt>
                <c:pt idx="2">
                  <c:v>9892.2999999999993</c:v>
                </c:pt>
              </c:numCache>
            </c:numRef>
          </c:val>
          <c:extLst>
            <c:ext xmlns:c16="http://schemas.microsoft.com/office/drawing/2014/chart" uri="{C3380CC4-5D6E-409C-BE32-E72D297353CC}">
              <c16:uniqueId val="{00000000-5C5B-48D0-ADD1-C3368BA83636}"/>
            </c:ext>
          </c:extLst>
        </c:ser>
        <c:ser>
          <c:idx val="1"/>
          <c:order val="1"/>
          <c:tx>
            <c:strRef>
              <c:f>'D9 Urban Amenity Dashboard'!$A$4</c:f>
              <c:strCache>
                <c:ptCount val="1"/>
                <c:pt idx="0">
                  <c:v>Accessibility </c:v>
                </c:pt>
              </c:strCache>
            </c:strRef>
          </c:tx>
          <c:spPr>
            <a:solidFill>
              <a:schemeClr val="accent2"/>
            </a:solidFill>
            <a:ln>
              <a:noFill/>
            </a:ln>
            <a:effectLst/>
          </c:spPr>
          <c:invertIfNegative val="0"/>
          <c:cat>
            <c:strRef>
              <c:f>'D9 Urban Amenity Dashboard'!$B$2:$D$2</c:f>
              <c:strCache>
                <c:ptCount val="3"/>
                <c:pt idx="0">
                  <c:v>CBA</c:v>
                </c:pt>
                <c:pt idx="1">
                  <c:v>SROI</c:v>
                </c:pt>
                <c:pt idx="2">
                  <c:v>WV</c:v>
                </c:pt>
              </c:strCache>
            </c:strRef>
          </c:cat>
          <c:val>
            <c:numRef>
              <c:f>'D9 Urban Amenity Dashboard'!$B$4:$D$4</c:f>
              <c:numCache>
                <c:formatCode>"$"#,##0</c:formatCode>
                <c:ptCount val="3"/>
                <c:pt idx="0">
                  <c:v>0</c:v>
                </c:pt>
                <c:pt idx="1">
                  <c:v>0</c:v>
                </c:pt>
                <c:pt idx="2">
                  <c:v>0</c:v>
                </c:pt>
              </c:numCache>
            </c:numRef>
          </c:val>
          <c:extLst>
            <c:ext xmlns:c16="http://schemas.microsoft.com/office/drawing/2014/chart" uri="{C3380CC4-5D6E-409C-BE32-E72D297353CC}">
              <c16:uniqueId val="{00000001-5C5B-48D0-ADD1-C3368BA83636}"/>
            </c:ext>
          </c:extLst>
        </c:ser>
        <c:dLbls>
          <c:showLegendKey val="0"/>
          <c:showVal val="0"/>
          <c:showCatName val="0"/>
          <c:showSerName val="0"/>
          <c:showPercent val="0"/>
          <c:showBubbleSize val="0"/>
        </c:dLbls>
        <c:gapWidth val="219"/>
        <c:overlap val="-27"/>
        <c:axId val="743353952"/>
        <c:axId val="743357888"/>
      </c:barChart>
      <c:catAx>
        <c:axId val="7433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357888"/>
        <c:crosses val="autoZero"/>
        <c:auto val="1"/>
        <c:lblAlgn val="ctr"/>
        <c:lblOffset val="100"/>
        <c:noMultiLvlLbl val="0"/>
      </c:catAx>
      <c:valAx>
        <c:axId val="7433578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35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388620</xdr:colOff>
      <xdr:row>2</xdr:row>
      <xdr:rowOff>76200</xdr:rowOff>
    </xdr:from>
    <xdr:to>
      <xdr:col>13</xdr:col>
      <xdr:colOff>71755</xdr:colOff>
      <xdr:row>7</xdr:row>
      <xdr:rowOff>161925</xdr:rowOff>
    </xdr:to>
    <xdr:pic>
      <xdr:nvPicPr>
        <xdr:cNvPr id="2" name="Picture 1" descr="Graphical user interface, text&#10;&#10;Description automatically generated">
          <a:extLst>
            <a:ext uri="{FF2B5EF4-FFF2-40B4-BE49-F238E27FC236}">
              <a16:creationId xmlns:a16="http://schemas.microsoft.com/office/drawing/2014/main" id="{A34AFBE8-4700-4A49-ACBD-7BADA6D132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420" y="441960"/>
          <a:ext cx="2731135" cy="1000125"/>
        </a:xfrm>
        <a:prstGeom prst="rect">
          <a:avLst/>
        </a:prstGeom>
        <a:noFill/>
      </xdr:spPr>
    </xdr:pic>
    <xdr:clientData/>
  </xdr:twoCellAnchor>
  <xdr:twoCellAnchor>
    <xdr:from>
      <xdr:col>4</xdr:col>
      <xdr:colOff>220980</xdr:colOff>
      <xdr:row>10</xdr:row>
      <xdr:rowOff>99060</xdr:rowOff>
    </xdr:from>
    <xdr:to>
      <xdr:col>17</xdr:col>
      <xdr:colOff>411480</xdr:colOff>
      <xdr:row>22</xdr:row>
      <xdr:rowOff>91440</xdr:rowOff>
    </xdr:to>
    <xdr:sp macro="" textlink="">
      <xdr:nvSpPr>
        <xdr:cNvPr id="3" name="TextBox 2">
          <a:extLst>
            <a:ext uri="{FF2B5EF4-FFF2-40B4-BE49-F238E27FC236}">
              <a16:creationId xmlns:a16="http://schemas.microsoft.com/office/drawing/2014/main" id="{8FA61C9B-2792-4A5B-842D-A27C824941A7}"/>
            </a:ext>
          </a:extLst>
        </xdr:cNvPr>
        <xdr:cNvSpPr txBox="1"/>
      </xdr:nvSpPr>
      <xdr:spPr>
        <a:xfrm>
          <a:off x="2659380" y="2209800"/>
          <a:ext cx="81153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i="0" u="none" strike="noStrike">
              <a:solidFill>
                <a:srgbClr val="0070C0"/>
              </a:solidFill>
              <a:effectLst/>
              <a:latin typeface="+mn-lt"/>
            </a:rPr>
            <a:t>Social and</a:t>
          </a:r>
          <a:r>
            <a:rPr lang="en-AU" sz="2800" b="1" i="0" u="none" strike="noStrike" baseline="0">
              <a:solidFill>
                <a:srgbClr val="0070C0"/>
              </a:solidFill>
              <a:effectLst/>
              <a:latin typeface="+mn-lt"/>
            </a:rPr>
            <a:t> </a:t>
          </a:r>
          <a:r>
            <a:rPr lang="en-AU" sz="2800" b="1" i="0" u="none" strike="noStrike">
              <a:solidFill>
                <a:srgbClr val="0070C0"/>
              </a:solidFill>
              <a:effectLst/>
              <a:latin typeface="+mn-lt"/>
            </a:rPr>
            <a:t>Affordable Housing Investment Tool</a:t>
          </a:r>
        </a:p>
        <a:p>
          <a:pPr algn="ctr"/>
          <a:r>
            <a:rPr lang="en-AU" sz="1600" b="1" i="0" u="none" strike="noStrike">
              <a:solidFill>
                <a:srgbClr val="0070C0"/>
              </a:solidFill>
              <a:effectLst/>
              <a:latin typeface="+mn-lt"/>
            </a:rPr>
            <a:t>(Version 1.0)</a:t>
          </a:r>
          <a:r>
            <a:rPr lang="en-AU" sz="1600" b="1">
              <a:effectLst/>
              <a:latin typeface="+mn-lt"/>
            </a:rPr>
            <a:t> </a:t>
          </a:r>
        </a:p>
        <a:p>
          <a:pPr algn="ctr"/>
          <a:endParaRPr lang="en-AU" sz="2800" b="1">
            <a:effectLst/>
            <a:latin typeface="+mn-lt"/>
          </a:endParaRPr>
        </a:p>
        <a:p>
          <a:pPr algn="ctr"/>
          <a:r>
            <a:rPr lang="en-AU" sz="2400" b="1" i="0" u="none" strike="noStrike">
              <a:solidFill>
                <a:srgbClr val="2F75B5"/>
              </a:solidFill>
              <a:effectLst/>
              <a:latin typeface="+mn-lt"/>
            </a:rPr>
            <a:t>User video to accompany SAHI Tool and Guidebook</a:t>
          </a:r>
          <a:r>
            <a:rPr lang="en-AU" sz="2400" b="1">
              <a:latin typeface="+mn-lt"/>
            </a:rPr>
            <a:t> </a:t>
          </a:r>
        </a:p>
        <a:p>
          <a:pPr algn="ctr"/>
          <a:r>
            <a:rPr lang="en-AU" sz="1600" b="0" i="0" u="sng" strike="noStrike">
              <a:solidFill>
                <a:srgbClr val="0563C1"/>
              </a:solidFill>
              <a:effectLst/>
              <a:latin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https://sbenrc.com.au/research-programs/1-81/</a:t>
          </a:r>
          <a:r>
            <a:rPr lang="en-AU" sz="1600"/>
            <a:t> </a:t>
          </a:r>
          <a:endParaRPr lang="en-AU" sz="1600" b="1">
            <a:latin typeface="+mn-lt"/>
          </a:endParaRPr>
        </a:p>
        <a:p>
          <a:pPr algn="ctr"/>
          <a:endParaRPr lang="en-AU" sz="1600" b="0" i="0" u="none" strike="noStrike">
            <a:solidFill>
              <a:srgbClr val="0070C0"/>
            </a:solidFill>
            <a:effectLst/>
            <a:latin typeface="+mn-lt"/>
            <a:ea typeface="+mn-ea"/>
            <a:cs typeface="+mn-cs"/>
          </a:endParaRPr>
        </a:p>
        <a:p>
          <a:pPr algn="ctr"/>
          <a:r>
            <a:rPr lang="en-AU" sz="1400" b="0" i="0" u="none" strike="noStrike">
              <a:solidFill>
                <a:srgbClr val="0070C0"/>
              </a:solidFill>
              <a:effectLst/>
              <a:latin typeface="+mn-lt"/>
              <a:ea typeface="+mn-ea"/>
              <a:cs typeface="+mn-cs"/>
            </a:rPr>
            <a:t>Prepared March 2023</a:t>
          </a:r>
          <a:r>
            <a:rPr lang="en-AU" sz="1400" b="0">
              <a:solidFill>
                <a:srgbClr val="0070C0"/>
              </a:solidFill>
              <a:latin typeface="+mn-lt"/>
            </a:rPr>
            <a:t> </a:t>
          </a:r>
          <a:endParaRPr lang="en-AU" sz="1400" b="0">
            <a:solidFill>
              <a:srgbClr val="0070C0"/>
            </a:solidFill>
            <a:effectLst/>
            <a:latin typeface="+mn-lt"/>
          </a:endParaRPr>
        </a:p>
        <a:p>
          <a:pPr algn="ctr"/>
          <a:endParaRPr lang="en-AU" sz="2800" b="1">
            <a:latin typeface="+mn-l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xdr:row>
      <xdr:rowOff>10160</xdr:rowOff>
    </xdr:from>
    <xdr:to>
      <xdr:col>8</xdr:col>
      <xdr:colOff>335280</xdr:colOff>
      <xdr:row>29</xdr:row>
      <xdr:rowOff>71120</xdr:rowOff>
    </xdr:to>
    <xdr:graphicFrame macro="">
      <xdr:nvGraphicFramePr>
        <xdr:cNvPr id="5" name="Chart 4">
          <a:extLst>
            <a:ext uri="{FF2B5EF4-FFF2-40B4-BE49-F238E27FC236}">
              <a16:creationId xmlns:a16="http://schemas.microsoft.com/office/drawing/2014/main" id="{442D7585-72B9-4EB0-9A4B-972C32C87F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1178560</xdr:colOff>
      <xdr:row>0</xdr:row>
      <xdr:rowOff>81280</xdr:rowOff>
    </xdr:from>
    <xdr:to>
      <xdr:col>12</xdr:col>
      <xdr:colOff>1938655</xdr:colOff>
      <xdr:row>5</xdr:row>
      <xdr:rowOff>45085</xdr:rowOff>
    </xdr:to>
    <xdr:pic>
      <xdr:nvPicPr>
        <xdr:cNvPr id="3" name="Picture 2">
          <a:extLst>
            <a:ext uri="{FF2B5EF4-FFF2-40B4-BE49-F238E27FC236}">
              <a16:creationId xmlns:a16="http://schemas.microsoft.com/office/drawing/2014/main" id="{ECA0815F-40F2-404A-A49E-1503F09E7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3600" y="81280"/>
          <a:ext cx="2731135" cy="10001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254000</xdr:colOff>
      <xdr:row>8</xdr:row>
      <xdr:rowOff>0</xdr:rowOff>
    </xdr:from>
    <xdr:to>
      <xdr:col>5</xdr:col>
      <xdr:colOff>101600</xdr:colOff>
      <xdr:row>29</xdr:row>
      <xdr:rowOff>30480</xdr:rowOff>
    </xdr:to>
    <xdr:graphicFrame macro="">
      <xdr:nvGraphicFramePr>
        <xdr:cNvPr id="3" name="Chart 2">
          <a:extLst>
            <a:ext uri="{FF2B5EF4-FFF2-40B4-BE49-F238E27FC236}">
              <a16:creationId xmlns:a16="http://schemas.microsoft.com/office/drawing/2014/main" id="{74708E04-864F-41BD-9187-A4969AE804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1016000</xdr:colOff>
      <xdr:row>0</xdr:row>
      <xdr:rowOff>0</xdr:rowOff>
    </xdr:from>
    <xdr:to>
      <xdr:col>12</xdr:col>
      <xdr:colOff>1776095</xdr:colOff>
      <xdr:row>4</xdr:row>
      <xdr:rowOff>156845</xdr:rowOff>
    </xdr:to>
    <xdr:pic>
      <xdr:nvPicPr>
        <xdr:cNvPr id="2" name="Picture 1">
          <a:extLst>
            <a:ext uri="{FF2B5EF4-FFF2-40B4-BE49-F238E27FC236}">
              <a16:creationId xmlns:a16="http://schemas.microsoft.com/office/drawing/2014/main" id="{EC9B6E71-30C1-406E-AC60-E60EDB7623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3280" y="0"/>
          <a:ext cx="2731135" cy="10001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121920</xdr:colOff>
      <xdr:row>7</xdr:row>
      <xdr:rowOff>132080</xdr:rowOff>
    </xdr:from>
    <xdr:to>
      <xdr:col>6</xdr:col>
      <xdr:colOff>304800</xdr:colOff>
      <xdr:row>31</xdr:row>
      <xdr:rowOff>50800</xdr:rowOff>
    </xdr:to>
    <xdr:graphicFrame macro="">
      <xdr:nvGraphicFramePr>
        <xdr:cNvPr id="3" name="Chart 2">
          <a:extLst>
            <a:ext uri="{FF2B5EF4-FFF2-40B4-BE49-F238E27FC236}">
              <a16:creationId xmlns:a16="http://schemas.microsoft.com/office/drawing/2014/main" id="{5071423C-86BF-4A13-9BD7-820D55EA37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1127760</xdr:colOff>
      <xdr:row>0</xdr:row>
      <xdr:rowOff>50800</xdr:rowOff>
    </xdr:from>
    <xdr:to>
      <xdr:col>12</xdr:col>
      <xdr:colOff>1887855</xdr:colOff>
      <xdr:row>5</xdr:row>
      <xdr:rowOff>14605</xdr:rowOff>
    </xdr:to>
    <xdr:pic>
      <xdr:nvPicPr>
        <xdr:cNvPr id="2" name="Picture 1">
          <a:extLst>
            <a:ext uri="{FF2B5EF4-FFF2-40B4-BE49-F238E27FC236}">
              <a16:creationId xmlns:a16="http://schemas.microsoft.com/office/drawing/2014/main" id="{5C39E7A2-5936-4065-B122-0DB97D21B0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52320" y="50800"/>
          <a:ext cx="2731135" cy="10001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8</xdr:row>
      <xdr:rowOff>142240</xdr:rowOff>
    </xdr:from>
    <xdr:to>
      <xdr:col>5</xdr:col>
      <xdr:colOff>91440</xdr:colOff>
      <xdr:row>30</xdr:row>
      <xdr:rowOff>10160</xdr:rowOff>
    </xdr:to>
    <xdr:graphicFrame macro="">
      <xdr:nvGraphicFramePr>
        <xdr:cNvPr id="4" name="Chart 3">
          <a:extLst>
            <a:ext uri="{FF2B5EF4-FFF2-40B4-BE49-F238E27FC236}">
              <a16:creationId xmlns:a16="http://schemas.microsoft.com/office/drawing/2014/main" id="{4B09D0D3-1BFA-4E89-B483-9D80556AE4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1290320</xdr:colOff>
      <xdr:row>0</xdr:row>
      <xdr:rowOff>71120</xdr:rowOff>
    </xdr:from>
    <xdr:to>
      <xdr:col>12</xdr:col>
      <xdr:colOff>79375</xdr:colOff>
      <xdr:row>5</xdr:row>
      <xdr:rowOff>34925</xdr:rowOff>
    </xdr:to>
    <xdr:pic>
      <xdr:nvPicPr>
        <xdr:cNvPr id="2" name="Picture 1">
          <a:extLst>
            <a:ext uri="{FF2B5EF4-FFF2-40B4-BE49-F238E27FC236}">
              <a16:creationId xmlns:a16="http://schemas.microsoft.com/office/drawing/2014/main" id="{8EFDFBEF-CFC2-4D4F-A4C2-043B45E296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2080" y="71120"/>
          <a:ext cx="2731135" cy="100012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40640</xdr:rowOff>
    </xdr:from>
    <xdr:to>
      <xdr:col>2</xdr:col>
      <xdr:colOff>650240</xdr:colOff>
      <xdr:row>24</xdr:row>
      <xdr:rowOff>40640</xdr:rowOff>
    </xdr:to>
    <xdr:graphicFrame macro="">
      <xdr:nvGraphicFramePr>
        <xdr:cNvPr id="4" name="Chart 3">
          <a:extLst>
            <a:ext uri="{FF2B5EF4-FFF2-40B4-BE49-F238E27FC236}">
              <a16:creationId xmlns:a16="http://schemas.microsoft.com/office/drawing/2014/main" id="{32BC915C-A678-4A99-B4EB-E63ACAFD53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1107440</xdr:colOff>
      <xdr:row>0</xdr:row>
      <xdr:rowOff>142240</xdr:rowOff>
    </xdr:from>
    <xdr:to>
      <xdr:col>12</xdr:col>
      <xdr:colOff>1867535</xdr:colOff>
      <xdr:row>5</xdr:row>
      <xdr:rowOff>106045</xdr:rowOff>
    </xdr:to>
    <xdr:pic>
      <xdr:nvPicPr>
        <xdr:cNvPr id="2" name="Picture 1">
          <a:extLst>
            <a:ext uri="{FF2B5EF4-FFF2-40B4-BE49-F238E27FC236}">
              <a16:creationId xmlns:a16="http://schemas.microsoft.com/office/drawing/2014/main" id="{F0168053-A849-47CC-9434-2175FB75F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2800" y="142240"/>
          <a:ext cx="2731135" cy="10001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281940</xdr:colOff>
      <xdr:row>18</xdr:row>
      <xdr:rowOff>60960</xdr:rowOff>
    </xdr:from>
    <xdr:to>
      <xdr:col>9</xdr:col>
      <xdr:colOff>386715</xdr:colOff>
      <xdr:row>28</xdr:row>
      <xdr:rowOff>10795</xdr:rowOff>
    </xdr:to>
    <xdr:pic>
      <xdr:nvPicPr>
        <xdr:cNvPr id="2" name="Picture 1">
          <a:extLst>
            <a:ext uri="{FF2B5EF4-FFF2-40B4-BE49-F238E27FC236}">
              <a16:creationId xmlns:a16="http://schemas.microsoft.com/office/drawing/2014/main" id="{D30BA932-9727-47BE-A59A-522A8775B788}"/>
            </a:ext>
          </a:extLst>
        </xdr:cNvPr>
        <xdr:cNvPicPr>
          <a:picLocks noChangeAspect="1"/>
        </xdr:cNvPicPr>
      </xdr:nvPicPr>
      <xdr:blipFill>
        <a:blip xmlns:r="http://schemas.openxmlformats.org/officeDocument/2006/relationships" r:embed="rId1"/>
        <a:stretch>
          <a:fillRect/>
        </a:stretch>
      </xdr:blipFill>
      <xdr:spPr>
        <a:xfrm>
          <a:off x="891540" y="3398520"/>
          <a:ext cx="4981575" cy="1778635"/>
        </a:xfrm>
        <a:prstGeom prst="rect">
          <a:avLst/>
        </a:prstGeom>
      </xdr:spPr>
    </xdr:pic>
    <xdr:clientData/>
  </xdr:twoCellAnchor>
  <xdr:twoCellAnchor>
    <xdr:from>
      <xdr:col>1</xdr:col>
      <xdr:colOff>220980</xdr:colOff>
      <xdr:row>11</xdr:row>
      <xdr:rowOff>15240</xdr:rowOff>
    </xdr:from>
    <xdr:to>
      <xdr:col>9</xdr:col>
      <xdr:colOff>510540</xdr:colOff>
      <xdr:row>17</xdr:row>
      <xdr:rowOff>76200</xdr:rowOff>
    </xdr:to>
    <xdr:sp macro="" textlink="">
      <xdr:nvSpPr>
        <xdr:cNvPr id="3" name="TextBox 2">
          <a:extLst>
            <a:ext uri="{FF2B5EF4-FFF2-40B4-BE49-F238E27FC236}">
              <a16:creationId xmlns:a16="http://schemas.microsoft.com/office/drawing/2014/main" id="{71B9AA60-D62F-4593-A41D-D1C789CF1669}"/>
            </a:ext>
          </a:extLst>
        </xdr:cNvPr>
        <xdr:cNvSpPr txBox="1"/>
      </xdr:nvSpPr>
      <xdr:spPr>
        <a:xfrm>
          <a:off x="830580" y="2072640"/>
          <a:ext cx="5166360" cy="1158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1200"/>
            </a:spcAft>
          </a:pPr>
          <a:r>
            <a:rPr lang="en-AU" sz="1100" i="0">
              <a:solidFill>
                <a:srgbClr val="000000"/>
              </a:solidFill>
              <a:effectLst/>
              <a:latin typeface="Calibri" panose="020F0502020204030204" pitchFamily="34" charset="0"/>
              <a:ea typeface="Calibri" panose="020F0502020204030204" pitchFamily="34" charset="0"/>
              <a:cs typeface="Calibri" panose="020F0502020204030204" pitchFamily="34" charset="0"/>
            </a:rPr>
            <a:t>This research has been developed with funding and support provided by Australia’s Sustainable Built Environment National Research Centre (SBEnrc) and its partners. </a:t>
          </a:r>
          <a:endParaRPr lang="en-AU" sz="1200" i="0">
            <a:effectLst/>
            <a:latin typeface="Calibri" panose="020F0502020204030204" pitchFamily="34" charset="0"/>
            <a:ea typeface="Batang"/>
            <a:cs typeface="Times New Roman" panose="02020603050405020304" pitchFamily="18" charset="0"/>
          </a:endParaRPr>
        </a:p>
        <a:p>
          <a:pPr algn="ctr">
            <a:spcAft>
              <a:spcPts val="1200"/>
            </a:spcAft>
          </a:pPr>
          <a:r>
            <a:rPr lang="en-AU" sz="1100" i="0">
              <a:solidFill>
                <a:srgbClr val="000000"/>
              </a:solidFill>
              <a:effectLst/>
              <a:latin typeface="Calibri" panose="020F0502020204030204" pitchFamily="34" charset="0"/>
              <a:ea typeface="Calibri" panose="020F0502020204030204" pitchFamily="34" charset="0"/>
              <a:cs typeface="Calibri" panose="020F0502020204030204" pitchFamily="34" charset="0"/>
            </a:rPr>
            <a:t>Current Core Members of the SBEnrc include ATCO Australia, BGC Australia, Government of Western Australia, Queensland Government, Curtin University, Griffith University, RMIT University and Western Sydney University.</a:t>
          </a:r>
          <a:endParaRPr lang="en-AU" sz="1200" i="0">
            <a:effectLst/>
            <a:latin typeface="Calibri" panose="020F0502020204030204" pitchFamily="34" charset="0"/>
            <a:ea typeface="Batang"/>
            <a:cs typeface="Times New Roman" panose="02020603050405020304" pitchFamily="18" charset="0"/>
          </a:endParaRPr>
        </a:p>
      </xdr:txBody>
    </xdr:sp>
    <xdr:clientData/>
  </xdr:twoCellAnchor>
  <xdr:twoCellAnchor>
    <xdr:from>
      <xdr:col>2</xdr:col>
      <xdr:colOff>426720</xdr:colOff>
      <xdr:row>6</xdr:row>
      <xdr:rowOff>83820</xdr:rowOff>
    </xdr:from>
    <xdr:to>
      <xdr:col>8</xdr:col>
      <xdr:colOff>167640</xdr:colOff>
      <xdr:row>10</xdr:row>
      <xdr:rowOff>121920</xdr:rowOff>
    </xdr:to>
    <xdr:sp macro="" textlink="">
      <xdr:nvSpPr>
        <xdr:cNvPr id="4" name="TextBox 3">
          <a:extLst>
            <a:ext uri="{FF2B5EF4-FFF2-40B4-BE49-F238E27FC236}">
              <a16:creationId xmlns:a16="http://schemas.microsoft.com/office/drawing/2014/main" id="{26439605-4405-4F2C-A235-1DBBB36E3937}"/>
            </a:ext>
          </a:extLst>
        </xdr:cNvPr>
        <xdr:cNvSpPr txBox="1"/>
      </xdr:nvSpPr>
      <xdr:spPr>
        <a:xfrm>
          <a:off x="1645920" y="1196340"/>
          <a:ext cx="339852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0" i="0" u="none" strike="noStrike">
              <a:solidFill>
                <a:schemeClr val="dk1"/>
              </a:solidFill>
              <a:effectLst/>
              <a:latin typeface="+mn-lt"/>
              <a:ea typeface="+mn-ea"/>
              <a:cs typeface="+mn-cs"/>
            </a:rPr>
            <a:t>For further information:</a:t>
          </a:r>
        </a:p>
        <a:p>
          <a:r>
            <a:rPr lang="en-AU" sz="1100" b="0" i="0" u="none" strike="noStrike">
              <a:solidFill>
                <a:schemeClr val="dk1"/>
              </a:solidFill>
              <a:effectLst/>
              <a:latin typeface="+mn-lt"/>
              <a:ea typeface="+mn-ea"/>
              <a:cs typeface="+mn-cs"/>
            </a:rPr>
            <a:t>Professor Sacha Reid </a:t>
          </a:r>
          <a:r>
            <a:rPr lang="en-AU">
              <a:effectLst/>
            </a:rPr>
            <a:t>     	 </a:t>
          </a:r>
          <a:r>
            <a:rPr lang="en-AU" sz="1100" b="0" i="0" u="none" strike="noStrike">
              <a:solidFill>
                <a:schemeClr val="dk1"/>
              </a:solidFill>
              <a:effectLst/>
              <a:latin typeface="+mn-lt"/>
              <a:ea typeface="+mn-ea"/>
              <a:cs typeface="+mn-cs"/>
            </a:rPr>
            <a:t>Dr Judy A Kraatz</a:t>
          </a:r>
          <a:r>
            <a:rPr lang="en-AU">
              <a:effectLst/>
            </a:rPr>
            <a:t> </a:t>
          </a:r>
        </a:p>
        <a:p>
          <a:r>
            <a:rPr lang="en-AU" sz="1100" b="0" i="0" u="none" strike="noStrike">
              <a:solidFill>
                <a:schemeClr val="dk1"/>
              </a:solidFill>
              <a:effectLst/>
              <a:latin typeface="+mn-lt"/>
              <a:ea typeface="+mn-ea"/>
              <a:cs typeface="+mn-cs"/>
            </a:rPr>
            <a:t>Griffith University</a:t>
          </a:r>
          <a:r>
            <a:rPr lang="en-AU">
              <a:effectLst/>
            </a:rPr>
            <a:t>             	</a:t>
          </a:r>
          <a:r>
            <a:rPr lang="en-AU" sz="1100" b="0" i="0" u="none" strike="noStrike">
              <a:solidFill>
                <a:schemeClr val="dk1"/>
              </a:solidFill>
              <a:effectLst/>
              <a:latin typeface="+mn-lt"/>
              <a:ea typeface="+mn-ea"/>
              <a:cs typeface="+mn-cs"/>
            </a:rPr>
            <a:t>Griffith University</a:t>
          </a:r>
          <a:r>
            <a:rPr lang="en-AU">
              <a:effectLst/>
            </a:rPr>
            <a:t> </a:t>
          </a:r>
        </a:p>
        <a:p>
          <a:r>
            <a:rPr lang="en-AU" sz="1100" b="0" i="0" u="sng" strike="noStrike">
              <a:solidFill>
                <a:schemeClr val="dk1"/>
              </a:solidFill>
              <a:effectLst/>
              <a:latin typeface="+mn-lt"/>
              <a:ea typeface="+mn-ea"/>
              <a:cs typeface="+mn-cs"/>
              <a:hlinkClick xmlns:r="http://schemas.openxmlformats.org/officeDocument/2006/relationships" r:id=""/>
            </a:rPr>
            <a:t>s.reid@griffith.edu.au </a:t>
          </a:r>
          <a:r>
            <a:rPr lang="en-AU">
              <a:effectLst/>
            </a:rPr>
            <a:t>    	j.kraatz@griffith.edu.au</a:t>
          </a:r>
        </a:p>
        <a:p>
          <a:r>
            <a:rPr lang="en-AU" sz="1100" b="0" i="0" u="none" strike="noStrike">
              <a:solidFill>
                <a:schemeClr val="dk1"/>
              </a:solidFill>
              <a:effectLst/>
              <a:latin typeface="+mn-lt"/>
              <a:ea typeface="+mn-ea"/>
              <a:cs typeface="+mn-cs"/>
            </a:rPr>
            <a:t>  </a:t>
          </a:r>
          <a:r>
            <a:rPr lang="en-AU">
              <a:effectLst/>
            </a:rPr>
            <a:t>  </a:t>
          </a:r>
        </a:p>
        <a:p>
          <a:r>
            <a:rPr lang="en-AU" sz="1100" b="0" i="0" u="none" strike="noStrike">
              <a:solidFill>
                <a:schemeClr val="dk1"/>
              </a:solidFill>
              <a:effectLst/>
              <a:latin typeface="+mn-lt"/>
              <a:ea typeface="+mn-ea"/>
              <a:cs typeface="+mn-cs"/>
            </a:rPr>
            <a:t> </a:t>
          </a:r>
        </a:p>
      </xdr:txBody>
    </xdr:sp>
    <xdr:clientData/>
  </xdr:twoCellAnchor>
  <xdr:twoCellAnchor editAs="oneCell">
    <xdr:from>
      <xdr:col>3</xdr:col>
      <xdr:colOff>114300</xdr:colOff>
      <xdr:row>0</xdr:row>
      <xdr:rowOff>68580</xdr:rowOff>
    </xdr:from>
    <xdr:to>
      <xdr:col>7</xdr:col>
      <xdr:colOff>407035</xdr:colOff>
      <xdr:row>5</xdr:row>
      <xdr:rowOff>154305</xdr:rowOff>
    </xdr:to>
    <xdr:pic>
      <xdr:nvPicPr>
        <xdr:cNvPr id="5" name="Picture 4">
          <a:extLst>
            <a:ext uri="{FF2B5EF4-FFF2-40B4-BE49-F238E27FC236}">
              <a16:creationId xmlns:a16="http://schemas.microsoft.com/office/drawing/2014/main" id="{4AE8C848-E5A5-4BCC-99C9-2F1FEEA24E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68580"/>
          <a:ext cx="2731135" cy="100012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274320</xdr:colOff>
      <xdr:row>9</xdr:row>
      <xdr:rowOff>121920</xdr:rowOff>
    </xdr:from>
    <xdr:to>
      <xdr:col>8</xdr:col>
      <xdr:colOff>233680</xdr:colOff>
      <xdr:row>33</xdr:row>
      <xdr:rowOff>0</xdr:rowOff>
    </xdr:to>
    <xdr:graphicFrame macro="">
      <xdr:nvGraphicFramePr>
        <xdr:cNvPr id="2" name="Chart 1">
          <a:extLst>
            <a:ext uri="{FF2B5EF4-FFF2-40B4-BE49-F238E27FC236}">
              <a16:creationId xmlns:a16="http://schemas.microsoft.com/office/drawing/2014/main" id="{2850CF0C-F2D7-4FA1-A922-426F21E954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1127760</xdr:colOff>
      <xdr:row>0</xdr:row>
      <xdr:rowOff>111760</xdr:rowOff>
    </xdr:from>
    <xdr:to>
      <xdr:col>12</xdr:col>
      <xdr:colOff>1887855</xdr:colOff>
      <xdr:row>5</xdr:row>
      <xdr:rowOff>75565</xdr:rowOff>
    </xdr:to>
    <xdr:pic>
      <xdr:nvPicPr>
        <xdr:cNvPr id="2" name="Picture 1">
          <a:extLst>
            <a:ext uri="{FF2B5EF4-FFF2-40B4-BE49-F238E27FC236}">
              <a16:creationId xmlns:a16="http://schemas.microsoft.com/office/drawing/2014/main" id="{7B3D153A-DC2B-4DCB-8B9C-4E7DA008C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42160" y="111760"/>
          <a:ext cx="2731135" cy="1000125"/>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172720</xdr:colOff>
      <xdr:row>8</xdr:row>
      <xdr:rowOff>152400</xdr:rowOff>
    </xdr:from>
    <xdr:to>
      <xdr:col>6</xdr:col>
      <xdr:colOff>284480</xdr:colOff>
      <xdr:row>30</xdr:row>
      <xdr:rowOff>50800</xdr:rowOff>
    </xdr:to>
    <xdr:graphicFrame macro="">
      <xdr:nvGraphicFramePr>
        <xdr:cNvPr id="4" name="Chart 3">
          <a:extLst>
            <a:ext uri="{FF2B5EF4-FFF2-40B4-BE49-F238E27FC236}">
              <a16:creationId xmlns:a16="http://schemas.microsoft.com/office/drawing/2014/main" id="{849B85EA-3CC0-4523-BA60-7BCC2A34F7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500285</xdr:colOff>
      <xdr:row>7</xdr:row>
      <xdr:rowOff>91527</xdr:rowOff>
    </xdr:to>
    <xdr:pic>
      <xdr:nvPicPr>
        <xdr:cNvPr id="17" name="Picture 16">
          <a:extLst>
            <a:ext uri="{FF2B5EF4-FFF2-40B4-BE49-F238E27FC236}">
              <a16:creationId xmlns:a16="http://schemas.microsoft.com/office/drawing/2014/main" id="{8D85ADD1-1B42-41C9-9335-669A35EABBCD}"/>
            </a:ext>
          </a:extLst>
        </xdr:cNvPr>
        <xdr:cNvPicPr>
          <a:picLocks noChangeAspect="1"/>
        </xdr:cNvPicPr>
      </xdr:nvPicPr>
      <xdr:blipFill>
        <a:blip xmlns:r="http://schemas.openxmlformats.org/officeDocument/2006/relationships" r:embed="rId1"/>
        <a:stretch>
          <a:fillRect/>
        </a:stretch>
      </xdr:blipFill>
      <xdr:spPr>
        <a:xfrm>
          <a:off x="609600" y="365760"/>
          <a:ext cx="4767485" cy="100592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1198880</xdr:colOff>
      <xdr:row>0</xdr:row>
      <xdr:rowOff>81280</xdr:rowOff>
    </xdr:from>
    <xdr:to>
      <xdr:col>10</xdr:col>
      <xdr:colOff>1958975</xdr:colOff>
      <xdr:row>5</xdr:row>
      <xdr:rowOff>45085</xdr:rowOff>
    </xdr:to>
    <xdr:pic>
      <xdr:nvPicPr>
        <xdr:cNvPr id="2" name="Picture 1">
          <a:extLst>
            <a:ext uri="{FF2B5EF4-FFF2-40B4-BE49-F238E27FC236}">
              <a16:creationId xmlns:a16="http://schemas.microsoft.com/office/drawing/2014/main" id="{4BE31785-88A9-461B-8AAD-98B3B6B05C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0880" y="81280"/>
          <a:ext cx="2731135" cy="1000125"/>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193040</xdr:colOff>
      <xdr:row>8</xdr:row>
      <xdr:rowOff>20320</xdr:rowOff>
    </xdr:from>
    <xdr:to>
      <xdr:col>6</xdr:col>
      <xdr:colOff>508000</xdr:colOff>
      <xdr:row>30</xdr:row>
      <xdr:rowOff>172720</xdr:rowOff>
    </xdr:to>
    <xdr:graphicFrame macro="">
      <xdr:nvGraphicFramePr>
        <xdr:cNvPr id="3" name="Chart 2">
          <a:extLst>
            <a:ext uri="{FF2B5EF4-FFF2-40B4-BE49-F238E27FC236}">
              <a16:creationId xmlns:a16="http://schemas.microsoft.com/office/drawing/2014/main" id="{9FF889D4-FED0-41F4-A2A9-F1C2F4818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1229360</xdr:colOff>
      <xdr:row>0</xdr:row>
      <xdr:rowOff>142240</xdr:rowOff>
    </xdr:from>
    <xdr:to>
      <xdr:col>11</xdr:col>
      <xdr:colOff>18415</xdr:colOff>
      <xdr:row>5</xdr:row>
      <xdr:rowOff>106045</xdr:rowOff>
    </xdr:to>
    <xdr:pic>
      <xdr:nvPicPr>
        <xdr:cNvPr id="2" name="Picture 1">
          <a:extLst>
            <a:ext uri="{FF2B5EF4-FFF2-40B4-BE49-F238E27FC236}">
              <a16:creationId xmlns:a16="http://schemas.microsoft.com/office/drawing/2014/main" id="{6AFC55FF-FBA0-4A05-AFB6-1896EE94EF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1680" y="142240"/>
          <a:ext cx="2731135" cy="1000125"/>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76200</xdr:colOff>
      <xdr:row>7</xdr:row>
      <xdr:rowOff>118110</xdr:rowOff>
    </xdr:from>
    <xdr:to>
      <xdr:col>6</xdr:col>
      <xdr:colOff>274320</xdr:colOff>
      <xdr:row>24</xdr:row>
      <xdr:rowOff>152400</xdr:rowOff>
    </xdr:to>
    <xdr:graphicFrame macro="">
      <xdr:nvGraphicFramePr>
        <xdr:cNvPr id="2" name="Chart 1">
          <a:extLst>
            <a:ext uri="{FF2B5EF4-FFF2-40B4-BE49-F238E27FC236}">
              <a16:creationId xmlns:a16="http://schemas.microsoft.com/office/drawing/2014/main" id="{EA122427-F14D-442D-A85E-FA0DFF07C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1229360</xdr:colOff>
      <xdr:row>0</xdr:row>
      <xdr:rowOff>0</xdr:rowOff>
    </xdr:from>
    <xdr:to>
      <xdr:col>11</xdr:col>
      <xdr:colOff>18415</xdr:colOff>
      <xdr:row>4</xdr:row>
      <xdr:rowOff>156845</xdr:rowOff>
    </xdr:to>
    <xdr:pic>
      <xdr:nvPicPr>
        <xdr:cNvPr id="2" name="Picture 1">
          <a:extLst>
            <a:ext uri="{FF2B5EF4-FFF2-40B4-BE49-F238E27FC236}">
              <a16:creationId xmlns:a16="http://schemas.microsoft.com/office/drawing/2014/main" id="{6D11DD62-3157-4326-893F-94051569A0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240" y="0"/>
          <a:ext cx="2731135" cy="1000125"/>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83820</xdr:colOff>
      <xdr:row>7</xdr:row>
      <xdr:rowOff>19050</xdr:rowOff>
    </xdr:from>
    <xdr:to>
      <xdr:col>6</xdr:col>
      <xdr:colOff>586740</xdr:colOff>
      <xdr:row>23</xdr:row>
      <xdr:rowOff>114300</xdr:rowOff>
    </xdr:to>
    <xdr:graphicFrame macro="">
      <xdr:nvGraphicFramePr>
        <xdr:cNvPr id="2" name="Chart 1">
          <a:extLst>
            <a:ext uri="{FF2B5EF4-FFF2-40B4-BE49-F238E27FC236}">
              <a16:creationId xmlns:a16="http://schemas.microsoft.com/office/drawing/2014/main" id="{1CFD8E6E-38AE-48DB-A092-4F75750FE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14</xdr:col>
      <xdr:colOff>566702</xdr:colOff>
      <xdr:row>30</xdr:row>
      <xdr:rowOff>101600</xdr:rowOff>
    </xdr:to>
    <xdr:pic>
      <xdr:nvPicPr>
        <xdr:cNvPr id="2" name="Picture 1">
          <a:extLst>
            <a:ext uri="{FF2B5EF4-FFF2-40B4-BE49-F238E27FC236}">
              <a16:creationId xmlns:a16="http://schemas.microsoft.com/office/drawing/2014/main" id="{5E85AB24-D2EF-8C2D-C68C-932FB611F1AC}"/>
            </a:ext>
          </a:extLst>
        </xdr:cNvPr>
        <xdr:cNvPicPr>
          <a:picLocks noChangeAspect="1"/>
        </xdr:cNvPicPr>
      </xdr:nvPicPr>
      <xdr:blipFill>
        <a:blip xmlns:r="http://schemas.openxmlformats.org/officeDocument/2006/relationships" r:embed="rId1"/>
        <a:stretch>
          <a:fillRect/>
        </a:stretch>
      </xdr:blipFill>
      <xdr:spPr>
        <a:xfrm>
          <a:off x="0" y="680720"/>
          <a:ext cx="8958862" cy="503936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110068</xdr:colOff>
      <xdr:row>32</xdr:row>
      <xdr:rowOff>7620</xdr:rowOff>
    </xdr:to>
    <xdr:pic>
      <xdr:nvPicPr>
        <xdr:cNvPr id="4" name="Picture 3">
          <a:extLst>
            <a:ext uri="{FF2B5EF4-FFF2-40B4-BE49-F238E27FC236}">
              <a16:creationId xmlns:a16="http://schemas.microsoft.com/office/drawing/2014/main" id="{B3424233-A71B-34C0-C399-D58B6C9C9E6D}"/>
            </a:ext>
          </a:extLst>
        </xdr:cNvPr>
        <xdr:cNvPicPr>
          <a:picLocks noChangeAspect="1"/>
        </xdr:cNvPicPr>
      </xdr:nvPicPr>
      <xdr:blipFill>
        <a:blip xmlns:r="http://schemas.openxmlformats.org/officeDocument/2006/relationships" r:embed="rId1"/>
        <a:stretch>
          <a:fillRect/>
        </a:stretch>
      </xdr:blipFill>
      <xdr:spPr>
        <a:xfrm>
          <a:off x="213360" y="198120"/>
          <a:ext cx="10092268" cy="56769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10160</xdr:colOff>
      <xdr:row>11</xdr:row>
      <xdr:rowOff>139700</xdr:rowOff>
    </xdr:from>
    <xdr:to>
      <xdr:col>7</xdr:col>
      <xdr:colOff>187960</xdr:colOff>
      <xdr:row>33</xdr:row>
      <xdr:rowOff>50800</xdr:rowOff>
    </xdr:to>
    <xdr:graphicFrame macro="">
      <xdr:nvGraphicFramePr>
        <xdr:cNvPr id="2" name="Chart 1">
          <a:extLst>
            <a:ext uri="{FF2B5EF4-FFF2-40B4-BE49-F238E27FC236}">
              <a16:creationId xmlns:a16="http://schemas.microsoft.com/office/drawing/2014/main" id="{2B4E3CEB-9C6B-41DB-A7CC-9A2E6DA1C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2731135</xdr:colOff>
      <xdr:row>4</xdr:row>
      <xdr:rowOff>156845</xdr:rowOff>
    </xdr:to>
    <xdr:pic>
      <xdr:nvPicPr>
        <xdr:cNvPr id="2" name="Picture 1">
          <a:extLst>
            <a:ext uri="{FF2B5EF4-FFF2-40B4-BE49-F238E27FC236}">
              <a16:creationId xmlns:a16="http://schemas.microsoft.com/office/drawing/2014/main" id="{7C1832D2-5E4E-44B9-92C5-42745897DF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0560" y="0"/>
          <a:ext cx="2731135" cy="1000125"/>
        </a:xfrm>
        <a:prstGeom prst="rect">
          <a:avLst/>
        </a:prstGeom>
        <a:noFill/>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7</xdr:row>
      <xdr:rowOff>26670</xdr:rowOff>
    </xdr:from>
    <xdr:to>
      <xdr:col>6</xdr:col>
      <xdr:colOff>266700</xdr:colOff>
      <xdr:row>24</xdr:row>
      <xdr:rowOff>91440</xdr:rowOff>
    </xdr:to>
    <xdr:graphicFrame macro="">
      <xdr:nvGraphicFramePr>
        <xdr:cNvPr id="2" name="Chart 1">
          <a:extLst>
            <a:ext uri="{FF2B5EF4-FFF2-40B4-BE49-F238E27FC236}">
              <a16:creationId xmlns:a16="http://schemas.microsoft.com/office/drawing/2014/main" id="{C52F0084-D25A-4D06-ACA4-BBABAF59BD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2731135</xdr:colOff>
      <xdr:row>4</xdr:row>
      <xdr:rowOff>156845</xdr:rowOff>
    </xdr:to>
    <xdr:pic>
      <xdr:nvPicPr>
        <xdr:cNvPr id="2" name="Picture 1">
          <a:extLst>
            <a:ext uri="{FF2B5EF4-FFF2-40B4-BE49-F238E27FC236}">
              <a16:creationId xmlns:a16="http://schemas.microsoft.com/office/drawing/2014/main" id="{ECB10FD0-D0BC-4C17-B9E5-F1143A709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11680" y="0"/>
          <a:ext cx="2731135" cy="1000125"/>
        </a:xfrm>
        <a:prstGeom prst="rect">
          <a:avLst/>
        </a:prstGeom>
        <a:noFill/>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15240</xdr:colOff>
      <xdr:row>7</xdr:row>
      <xdr:rowOff>11430</xdr:rowOff>
    </xdr:from>
    <xdr:to>
      <xdr:col>7</xdr:col>
      <xdr:colOff>525780</xdr:colOff>
      <xdr:row>24</xdr:row>
      <xdr:rowOff>167640</xdr:rowOff>
    </xdr:to>
    <xdr:graphicFrame macro="">
      <xdr:nvGraphicFramePr>
        <xdr:cNvPr id="2" name="Chart 1">
          <a:extLst>
            <a:ext uri="{FF2B5EF4-FFF2-40B4-BE49-F238E27FC236}">
              <a16:creationId xmlns:a16="http://schemas.microsoft.com/office/drawing/2014/main" id="{8668C927-2BA7-41E4-9D55-0CDB43CB1D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2731135</xdr:colOff>
      <xdr:row>4</xdr:row>
      <xdr:rowOff>187325</xdr:rowOff>
    </xdr:to>
    <xdr:pic>
      <xdr:nvPicPr>
        <xdr:cNvPr id="2" name="Picture 1">
          <a:extLst>
            <a:ext uri="{FF2B5EF4-FFF2-40B4-BE49-F238E27FC236}">
              <a16:creationId xmlns:a16="http://schemas.microsoft.com/office/drawing/2014/main" id="{95563447-1BB0-4067-8311-8D91336281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71040" y="0"/>
          <a:ext cx="2731135" cy="1000125"/>
        </a:xfrm>
        <a:prstGeom prst="rect">
          <a:avLst/>
        </a:prstGeom>
        <a:noFill/>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53340</xdr:colOff>
      <xdr:row>7</xdr:row>
      <xdr:rowOff>41910</xdr:rowOff>
    </xdr:from>
    <xdr:to>
      <xdr:col>7</xdr:col>
      <xdr:colOff>601980</xdr:colOff>
      <xdr:row>25</xdr:row>
      <xdr:rowOff>30480</xdr:rowOff>
    </xdr:to>
    <xdr:graphicFrame macro="">
      <xdr:nvGraphicFramePr>
        <xdr:cNvPr id="2" name="Chart 1">
          <a:extLst>
            <a:ext uri="{FF2B5EF4-FFF2-40B4-BE49-F238E27FC236}">
              <a16:creationId xmlns:a16="http://schemas.microsoft.com/office/drawing/2014/main" id="{5A63B6FC-6B13-4418-8229-60C026B5D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2731135</xdr:colOff>
      <xdr:row>4</xdr:row>
      <xdr:rowOff>187325</xdr:rowOff>
    </xdr:to>
    <xdr:pic>
      <xdr:nvPicPr>
        <xdr:cNvPr id="3" name="Picture 2">
          <a:extLst>
            <a:ext uri="{FF2B5EF4-FFF2-40B4-BE49-F238E27FC236}">
              <a16:creationId xmlns:a16="http://schemas.microsoft.com/office/drawing/2014/main" id="{288FCF7C-D828-4340-8F3B-FDDCDB766F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32000" y="0"/>
          <a:ext cx="2731135" cy="1000125"/>
        </a:xfrm>
        <a:prstGeom prst="rect">
          <a:avLst/>
        </a:prstGeom>
        <a:noFill/>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83820</xdr:colOff>
      <xdr:row>7</xdr:row>
      <xdr:rowOff>80010</xdr:rowOff>
    </xdr:from>
    <xdr:to>
      <xdr:col>7</xdr:col>
      <xdr:colOff>403860</xdr:colOff>
      <xdr:row>24</xdr:row>
      <xdr:rowOff>68580</xdr:rowOff>
    </xdr:to>
    <xdr:graphicFrame macro="">
      <xdr:nvGraphicFramePr>
        <xdr:cNvPr id="2" name="Chart 1">
          <a:extLst>
            <a:ext uri="{FF2B5EF4-FFF2-40B4-BE49-F238E27FC236}">
              <a16:creationId xmlns:a16="http://schemas.microsoft.com/office/drawing/2014/main" id="{BA3B2197-0BD0-4A8F-8B78-EDFF87B55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243841</xdr:colOff>
      <xdr:row>2</xdr:row>
      <xdr:rowOff>38101</xdr:rowOff>
    </xdr:from>
    <xdr:to>
      <xdr:col>11</xdr:col>
      <xdr:colOff>160021</xdr:colOff>
      <xdr:row>8</xdr:row>
      <xdr:rowOff>55913</xdr:rowOff>
    </xdr:to>
    <xdr:pic>
      <xdr:nvPicPr>
        <xdr:cNvPr id="55" name="Picture 54">
          <a:extLst>
            <a:ext uri="{FF2B5EF4-FFF2-40B4-BE49-F238E27FC236}">
              <a16:creationId xmlns:a16="http://schemas.microsoft.com/office/drawing/2014/main" id="{C1462C38-1F96-4A4E-BD69-782532333495}"/>
            </a:ext>
          </a:extLst>
        </xdr:cNvPr>
        <xdr:cNvPicPr>
          <a:picLocks noChangeAspect="1"/>
        </xdr:cNvPicPr>
      </xdr:nvPicPr>
      <xdr:blipFill>
        <a:blip xmlns:r="http://schemas.openxmlformats.org/officeDocument/2006/relationships" r:embed="rId1"/>
        <a:stretch>
          <a:fillRect/>
        </a:stretch>
      </xdr:blipFill>
      <xdr:spPr>
        <a:xfrm>
          <a:off x="243841" y="403861"/>
          <a:ext cx="7825740" cy="1115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1148080</xdr:colOff>
      <xdr:row>0</xdr:row>
      <xdr:rowOff>101600</xdr:rowOff>
    </xdr:from>
    <xdr:to>
      <xdr:col>12</xdr:col>
      <xdr:colOff>1908175</xdr:colOff>
      <xdr:row>5</xdr:row>
      <xdr:rowOff>65405</xdr:rowOff>
    </xdr:to>
    <xdr:pic>
      <xdr:nvPicPr>
        <xdr:cNvPr id="2" name="Picture 1">
          <a:extLst>
            <a:ext uri="{FF2B5EF4-FFF2-40B4-BE49-F238E27FC236}">
              <a16:creationId xmlns:a16="http://schemas.microsoft.com/office/drawing/2014/main" id="{0633CE7D-E149-454C-8603-DC14DB76FF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21840" y="101600"/>
          <a:ext cx="2731135" cy="10001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8</xdr:row>
      <xdr:rowOff>60960</xdr:rowOff>
    </xdr:from>
    <xdr:to>
      <xdr:col>6</xdr:col>
      <xdr:colOff>508000</xdr:colOff>
      <xdr:row>30</xdr:row>
      <xdr:rowOff>0</xdr:rowOff>
    </xdr:to>
    <xdr:graphicFrame macro="">
      <xdr:nvGraphicFramePr>
        <xdr:cNvPr id="2" name="Chart 1">
          <a:extLst>
            <a:ext uri="{FF2B5EF4-FFF2-40B4-BE49-F238E27FC236}">
              <a16:creationId xmlns:a16="http://schemas.microsoft.com/office/drawing/2014/main" id="{766EDAA6-7333-4CB7-B2CA-6C62ABA0F3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1127760</xdr:colOff>
      <xdr:row>0</xdr:row>
      <xdr:rowOff>162560</xdr:rowOff>
    </xdr:from>
    <xdr:to>
      <xdr:col>12</xdr:col>
      <xdr:colOff>1887855</xdr:colOff>
      <xdr:row>5</xdr:row>
      <xdr:rowOff>126365</xdr:rowOff>
    </xdr:to>
    <xdr:pic>
      <xdr:nvPicPr>
        <xdr:cNvPr id="2" name="Picture 1">
          <a:extLst>
            <a:ext uri="{FF2B5EF4-FFF2-40B4-BE49-F238E27FC236}">
              <a16:creationId xmlns:a16="http://schemas.microsoft.com/office/drawing/2014/main" id="{E7E5ADBA-F6D0-4502-ABF1-DD1E8B7062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50160" y="162560"/>
          <a:ext cx="2731135" cy="10001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32658</xdr:colOff>
      <xdr:row>11</xdr:row>
      <xdr:rowOff>43544</xdr:rowOff>
    </xdr:from>
    <xdr:to>
      <xdr:col>8</xdr:col>
      <xdr:colOff>261257</xdr:colOff>
      <xdr:row>32</xdr:row>
      <xdr:rowOff>21771</xdr:rowOff>
    </xdr:to>
    <xdr:graphicFrame macro="">
      <xdr:nvGraphicFramePr>
        <xdr:cNvPr id="2" name="Chart 1">
          <a:extLst>
            <a:ext uri="{FF2B5EF4-FFF2-40B4-BE49-F238E27FC236}">
              <a16:creationId xmlns:a16="http://schemas.microsoft.com/office/drawing/2014/main" id="{366FCD48-7C07-4C28-BEBC-2806EB71FA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1107440</xdr:colOff>
      <xdr:row>0</xdr:row>
      <xdr:rowOff>101600</xdr:rowOff>
    </xdr:from>
    <xdr:to>
      <xdr:col>12</xdr:col>
      <xdr:colOff>1867535</xdr:colOff>
      <xdr:row>5</xdr:row>
      <xdr:rowOff>65405</xdr:rowOff>
    </xdr:to>
    <xdr:pic>
      <xdr:nvPicPr>
        <xdr:cNvPr id="2" name="Picture 1">
          <a:extLst>
            <a:ext uri="{FF2B5EF4-FFF2-40B4-BE49-F238E27FC236}">
              <a16:creationId xmlns:a16="http://schemas.microsoft.com/office/drawing/2014/main" id="{6773C182-87EE-4089-8D19-ED94320BB8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2480" y="101600"/>
          <a:ext cx="2731135" cy="1000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0.bin"/><Relationship Id="rId1" Type="http://schemas.openxmlformats.org/officeDocument/2006/relationships/hyperlink" Target="https://livablehousingaustralia.org.au/design-guideline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niversaldesignaustralia.net.au/universal-design-new-york/" TargetMode="External"/><Relationship Id="rId1" Type="http://schemas.openxmlformats.org/officeDocument/2006/relationships/hyperlink" Target="https://atlas.id.com.au/perth"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8" Type="http://schemas.openxmlformats.org/officeDocument/2006/relationships/hyperlink" Target="https://www.acoss.org.au/housing-homelessness/" TargetMode="External"/><Relationship Id="rId13" Type="http://schemas.openxmlformats.org/officeDocument/2006/relationships/comments" Target="../comments4.xml"/><Relationship Id="rId3" Type="http://schemas.openxmlformats.org/officeDocument/2006/relationships/hyperlink" Target="https://www.housingdata.gov.au/visualisation/social-housing/tenant-satisfaction-with-services" TargetMode="External"/><Relationship Id="rId7" Type="http://schemas.openxmlformats.org/officeDocument/2006/relationships/hyperlink" Target="https://www.abs.gov.au/articles/building-new-home-construction-cost-changes" TargetMode="External"/><Relationship Id="rId12" Type="http://schemas.openxmlformats.org/officeDocument/2006/relationships/vmlDrawing" Target="../drawings/vmlDrawing4.vml"/><Relationship Id="rId2" Type="http://schemas.openxmlformats.org/officeDocument/2006/relationships/hyperlink" Target="https://www.fremantle.wa.gov.au/sites/default/files/homelessness%20plan%202021-2024.pdf" TargetMode="External"/><Relationship Id="rId1" Type="http://schemas.openxmlformats.org/officeDocument/2006/relationships/hyperlink" Target="https://www.wa.gov.au/organisation/department-of-communities/social-housing-economic-recovery-package" TargetMode="External"/><Relationship Id="rId6" Type="http://schemas.openxmlformats.org/officeDocument/2006/relationships/hyperlink" Target="https://www.housingdata.gov.au/visualisation/social-housing/tenant-satisfaction-with-services" TargetMode="External"/><Relationship Id="rId11" Type="http://schemas.openxmlformats.org/officeDocument/2006/relationships/drawing" Target="../drawings/drawing26.xml"/><Relationship Id="rId5" Type="http://schemas.openxmlformats.org/officeDocument/2006/relationships/hyperlink" Target="https://www.housingdata.gov.au/visualisation/social-housing/tenant-satisfaction-with-services" TargetMode="External"/><Relationship Id="rId10" Type="http://schemas.openxmlformats.org/officeDocument/2006/relationships/printerSettings" Target="../printerSettings/printerSettings14.bin"/><Relationship Id="rId4" Type="http://schemas.openxmlformats.org/officeDocument/2006/relationships/hyperlink" Target="https://www.housingdata.gov.au/visualisation/social-housing/tenant-satisfaction-with-services" TargetMode="External"/><Relationship Id="rId9" Type="http://schemas.openxmlformats.org/officeDocument/2006/relationships/hyperlink" Target="https://www.chde.qld.gov.au/about/strategy/housing/housing-and-homelessness-action-plan-2021-2025" TargetMode="Externa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atlas.id.com.au/perth" TargetMode="External"/><Relationship Id="rId1" Type="http://schemas.openxmlformats.org/officeDocument/2006/relationships/hyperlink" Target="https://livablehousingaustralia.org.au/design-guidelines/" TargetMode="External"/><Relationship Id="rId4"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18.bin"/><Relationship Id="rId1" Type="http://schemas.openxmlformats.org/officeDocument/2006/relationships/hyperlink" Target="https://universaldesignaustralia.net.au/universal-design-new-york/"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6.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abs.gov.au/articles/building-new-home-construction-cost-changes" TargetMode="External"/><Relationship Id="rId1" Type="http://schemas.openxmlformats.org/officeDocument/2006/relationships/hyperlink" Target="https://www.wa.gov.au/organisation/department-of-communities/social-housing-economic-recovery-package" TargetMode="External"/><Relationship Id="rId4"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www.aihw.gov.au/indigenous-data/health-performance-framework/"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A670D-4AFD-4210-BA44-CAE3E3124048}">
  <dimension ref="A9:F13"/>
  <sheetViews>
    <sheetView workbookViewId="0">
      <selection activeCell="F24" sqref="F24"/>
    </sheetView>
  </sheetViews>
  <sheetFormatPr defaultRowHeight="15"/>
  <sheetData>
    <row r="9" spans="1:6" ht="36">
      <c r="A9" s="1129"/>
    </row>
    <row r="11" spans="1:6" ht="31.5">
      <c r="B11" s="1130"/>
    </row>
    <row r="13" spans="1:6">
      <c r="F13" s="113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9FB4F-39BB-4AA6-BBBB-430AA9FF7EEF}">
  <dimension ref="A1:I8"/>
  <sheetViews>
    <sheetView zoomScale="75" zoomScaleNormal="75" workbookViewId="0">
      <selection activeCell="G6" sqref="G6"/>
    </sheetView>
  </sheetViews>
  <sheetFormatPr defaultColWidth="8.7109375" defaultRowHeight="15"/>
  <cols>
    <col min="1" max="1" width="18.140625" customWidth="1"/>
    <col min="2" max="2" width="9.7109375" bestFit="1" customWidth="1"/>
    <col min="3" max="3" width="11.28515625" bestFit="1" customWidth="1"/>
    <col min="4" max="4" width="9.7109375" bestFit="1" customWidth="1"/>
  </cols>
  <sheetData>
    <row r="1" spans="1:9" ht="21">
      <c r="A1" s="213" t="s">
        <v>490</v>
      </c>
      <c r="B1" s="214"/>
      <c r="C1" s="214"/>
      <c r="D1" s="214"/>
      <c r="I1" s="973" t="s">
        <v>497</v>
      </c>
    </row>
    <row r="2" spans="1:9" ht="21">
      <c r="A2" s="214"/>
      <c r="B2" s="215" t="s">
        <v>367</v>
      </c>
      <c r="C2" s="215" t="s">
        <v>368</v>
      </c>
      <c r="D2" s="215" t="s">
        <v>369</v>
      </c>
    </row>
    <row r="3" spans="1:9" ht="21">
      <c r="A3" s="222" t="s">
        <v>373</v>
      </c>
      <c r="B3" s="223">
        <f>'D3 Education Worksheet'!D28</f>
        <v>168</v>
      </c>
      <c r="C3" s="223">
        <f>'D3 Education Worksheet'!E28</f>
        <v>5410.750500000001</v>
      </c>
      <c r="D3" s="223">
        <f>'D3 Education Worksheet'!F28</f>
        <v>7119.6</v>
      </c>
    </row>
    <row r="4" spans="1:9" ht="21">
      <c r="A4" s="222" t="s">
        <v>374</v>
      </c>
      <c r="B4" s="223">
        <f>'D3 Education Worksheet'!D43</f>
        <v>6208.6</v>
      </c>
      <c r="C4" s="223">
        <f>'D3 Education Worksheet'!E43</f>
        <v>23948.396100000002</v>
      </c>
      <c r="D4" s="223">
        <f>'D3 Education Worksheet'!F43</f>
        <v>0</v>
      </c>
    </row>
    <row r="5" spans="1:9" ht="21">
      <c r="A5" s="214" t="s">
        <v>371</v>
      </c>
      <c r="B5" s="214"/>
      <c r="C5" s="214"/>
      <c r="D5" s="214"/>
    </row>
    <row r="6" spans="1:9" ht="21">
      <c r="A6" s="214" t="s">
        <v>549</v>
      </c>
      <c r="B6" s="214"/>
      <c r="C6" s="214"/>
      <c r="D6" s="214"/>
    </row>
    <row r="7" spans="1:9" ht="21">
      <c r="A7" s="214" t="s">
        <v>550</v>
      </c>
      <c r="B7" s="214"/>
      <c r="C7" s="214"/>
      <c r="D7" s="214"/>
    </row>
    <row r="8" spans="1:9" ht="21">
      <c r="A8" s="214" t="s">
        <v>551</v>
      </c>
      <c r="B8" s="214"/>
      <c r="C8" s="214"/>
      <c r="D8" s="214"/>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7AC7D-281E-4881-B04A-1C0B521D5328}">
  <sheetPr>
    <pageSetUpPr fitToPage="1"/>
  </sheetPr>
  <dimension ref="A1:M31"/>
  <sheetViews>
    <sheetView zoomScale="75" zoomScaleNormal="75" workbookViewId="0">
      <selection activeCell="L1" sqref="L1:M1"/>
    </sheetView>
  </sheetViews>
  <sheetFormatPr defaultColWidth="8.7109375" defaultRowHeight="15"/>
  <cols>
    <col min="1" max="2" width="20.7109375" style="2" customWidth="1"/>
    <col min="3" max="3" width="10.7109375" style="5" customWidth="1"/>
    <col min="4" max="4" width="7.42578125" style="5" bestFit="1" customWidth="1"/>
    <col min="5" max="6" width="6.7109375" style="5" customWidth="1"/>
    <col min="7" max="8" width="28.7109375" style="2" customWidth="1"/>
    <col min="9" max="9" width="10.7109375" style="2" customWidth="1"/>
    <col min="10" max="13" width="28.7109375" style="2" customWidth="1"/>
  </cols>
  <sheetData>
    <row r="1" spans="1:13" ht="21">
      <c r="A1" s="1152" t="s">
        <v>222</v>
      </c>
      <c r="B1" s="1152"/>
      <c r="C1" s="95"/>
      <c r="D1" s="95"/>
      <c r="E1" s="95"/>
      <c r="F1" s="95"/>
      <c r="G1" s="973" t="s">
        <v>497</v>
      </c>
      <c r="H1" s="172"/>
      <c r="I1" s="172"/>
      <c r="J1" s="120"/>
      <c r="K1" s="120"/>
      <c r="L1" s="1148"/>
      <c r="M1" s="1149"/>
    </row>
    <row r="2" spans="1:13" ht="15" customHeight="1">
      <c r="A2" s="291" t="s">
        <v>333</v>
      </c>
      <c r="B2" t="s">
        <v>282</v>
      </c>
      <c r="C2" s="94"/>
      <c r="D2" s="6"/>
      <c r="E2" s="6"/>
      <c r="F2" s="6"/>
      <c r="G2" s="6"/>
      <c r="H2" s="6"/>
      <c r="I2" s="6"/>
      <c r="J2" s="5"/>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63" customHeight="1" thickBot="1">
      <c r="A10" s="1137"/>
      <c r="B10" s="1138"/>
      <c r="C10" s="1153" t="s">
        <v>1171</v>
      </c>
      <c r="D10" s="1140"/>
      <c r="E10" s="1140"/>
      <c r="F10" s="1140"/>
      <c r="G10" s="1140"/>
      <c r="H10" s="1140"/>
      <c r="I10" s="1140"/>
      <c r="J10" s="1140"/>
      <c r="K10" s="1141"/>
      <c r="L10" s="1135" t="s">
        <v>134</v>
      </c>
      <c r="M10" s="1136"/>
    </row>
    <row r="11" spans="1:13">
      <c r="A11" s="672"/>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587" t="s">
        <v>422</v>
      </c>
      <c r="I12" s="608" t="s">
        <v>480</v>
      </c>
      <c r="J12" s="104" t="s">
        <v>523</v>
      </c>
      <c r="K12" s="609" t="s">
        <v>422</v>
      </c>
      <c r="L12" s="602" t="s">
        <v>565</v>
      </c>
      <c r="M12" s="11" t="s">
        <v>566</v>
      </c>
    </row>
    <row r="13" spans="1:13" ht="301.14999999999998" customHeight="1">
      <c r="A13" s="29" t="s">
        <v>23</v>
      </c>
      <c r="B13" s="623" t="s">
        <v>638</v>
      </c>
      <c r="C13" s="588"/>
      <c r="D13" s="379">
        <v>17784</v>
      </c>
      <c r="E13" s="395"/>
      <c r="F13" s="390"/>
      <c r="G13" s="208" t="s">
        <v>643</v>
      </c>
      <c r="H13" s="635" t="s">
        <v>1075</v>
      </c>
      <c r="I13" s="665"/>
      <c r="J13" s="81" t="s">
        <v>418</v>
      </c>
      <c r="K13" s="590" t="s">
        <v>425</v>
      </c>
      <c r="L13" s="655" t="s">
        <v>1073</v>
      </c>
      <c r="M13" s="299" t="s">
        <v>396</v>
      </c>
    </row>
    <row r="14" spans="1:13" ht="176.65" customHeight="1">
      <c r="A14" s="41"/>
      <c r="B14" s="625" t="s">
        <v>149</v>
      </c>
      <c r="C14" s="592"/>
      <c r="D14" s="382"/>
      <c r="E14" s="394"/>
      <c r="F14" s="393">
        <f>1.7*1229</f>
        <v>2089.2999999999997</v>
      </c>
      <c r="G14" s="192" t="s">
        <v>395</v>
      </c>
      <c r="H14" s="590" t="s">
        <v>1074</v>
      </c>
      <c r="I14" s="522"/>
      <c r="J14" s="478" t="s">
        <v>330</v>
      </c>
      <c r="K14" s="666" t="s">
        <v>330</v>
      </c>
      <c r="L14" s="966"/>
      <c r="M14" s="298"/>
    </row>
    <row r="15" spans="1:13" ht="51">
      <c r="A15" s="41"/>
      <c r="B15" s="625" t="s">
        <v>639</v>
      </c>
      <c r="C15" s="592"/>
      <c r="D15" s="382"/>
      <c r="E15" s="394"/>
      <c r="F15" s="393"/>
      <c r="G15" s="192" t="s">
        <v>183</v>
      </c>
      <c r="H15" s="590"/>
      <c r="I15" s="522"/>
      <c r="J15" s="478" t="s">
        <v>330</v>
      </c>
      <c r="K15" s="666" t="s">
        <v>330</v>
      </c>
      <c r="L15" s="966"/>
      <c r="M15" s="298"/>
    </row>
    <row r="16" spans="1:13" ht="63.75">
      <c r="A16" s="41"/>
      <c r="B16" s="625" t="s">
        <v>640</v>
      </c>
      <c r="C16" s="592"/>
      <c r="D16" s="382"/>
      <c r="E16" s="394"/>
      <c r="F16" s="393"/>
      <c r="G16" s="192" t="s">
        <v>183</v>
      </c>
      <c r="H16" s="590" t="s">
        <v>734</v>
      </c>
      <c r="I16" s="522"/>
      <c r="J16" s="478" t="s">
        <v>330</v>
      </c>
      <c r="K16" s="666" t="s">
        <v>330</v>
      </c>
      <c r="L16" s="966"/>
      <c r="M16" s="298"/>
    </row>
    <row r="17" spans="1:13" ht="63.75">
      <c r="A17" s="41"/>
      <c r="B17" s="625" t="s">
        <v>641</v>
      </c>
      <c r="C17" s="592"/>
      <c r="D17" s="382"/>
      <c r="E17" s="394"/>
      <c r="F17" s="393"/>
      <c r="G17" s="192" t="s">
        <v>642</v>
      </c>
      <c r="H17" s="590" t="s">
        <v>734</v>
      </c>
      <c r="I17" s="522"/>
      <c r="J17" s="478" t="s">
        <v>330</v>
      </c>
      <c r="K17" s="666" t="s">
        <v>330</v>
      </c>
      <c r="L17" s="966"/>
      <c r="M17" s="55"/>
    </row>
    <row r="18" spans="1:13" ht="114.75">
      <c r="A18" s="41"/>
      <c r="B18" s="628" t="s">
        <v>150</v>
      </c>
      <c r="C18" s="592"/>
      <c r="D18" s="382"/>
      <c r="E18" s="394"/>
      <c r="F18" s="393"/>
      <c r="G18" s="192" t="s">
        <v>358</v>
      </c>
      <c r="H18" s="1040" t="s">
        <v>735</v>
      </c>
      <c r="I18" s="522"/>
      <c r="J18" s="81" t="s">
        <v>408</v>
      </c>
      <c r="K18" s="590" t="s">
        <v>425</v>
      </c>
      <c r="L18" s="603"/>
      <c r="M18" s="55"/>
    </row>
    <row r="19" spans="1:13" ht="114.75">
      <c r="A19" s="41"/>
      <c r="B19" s="625" t="s">
        <v>151</v>
      </c>
      <c r="C19" s="592"/>
      <c r="D19" s="382"/>
      <c r="E19" s="394"/>
      <c r="F19" s="393"/>
      <c r="G19" s="192" t="s">
        <v>183</v>
      </c>
      <c r="H19" s="1040" t="s">
        <v>644</v>
      </c>
      <c r="I19" s="522"/>
      <c r="J19" s="478" t="s">
        <v>330</v>
      </c>
      <c r="K19" s="666" t="s">
        <v>330</v>
      </c>
      <c r="L19" s="603"/>
      <c r="M19" s="55"/>
    </row>
    <row r="20" spans="1:13" ht="63.75">
      <c r="A20" s="29" t="s">
        <v>24</v>
      </c>
      <c r="B20" s="623" t="s">
        <v>25</v>
      </c>
      <c r="C20" s="588"/>
      <c r="D20" s="379"/>
      <c r="E20" s="395"/>
      <c r="F20" s="390"/>
      <c r="G20" s="208" t="s">
        <v>184</v>
      </c>
      <c r="H20" s="635" t="s">
        <v>614</v>
      </c>
      <c r="I20" s="665"/>
      <c r="J20" s="478" t="s">
        <v>330</v>
      </c>
      <c r="K20" s="666" t="s">
        <v>330</v>
      </c>
      <c r="L20" s="653"/>
      <c r="M20" s="22" t="s">
        <v>647</v>
      </c>
    </row>
    <row r="21" spans="1:13" ht="128.25" thickBot="1">
      <c r="A21" s="54"/>
      <c r="B21" s="629" t="s">
        <v>397</v>
      </c>
      <c r="C21" s="596"/>
      <c r="D21" s="482"/>
      <c r="E21" s="483"/>
      <c r="F21" s="484"/>
      <c r="G21" s="645" t="s">
        <v>1119</v>
      </c>
      <c r="H21" s="646" t="s">
        <v>646</v>
      </c>
      <c r="I21" s="670"/>
      <c r="J21" s="928" t="s">
        <v>330</v>
      </c>
      <c r="K21" s="929" t="s">
        <v>330</v>
      </c>
      <c r="L21" s="654"/>
      <c r="M21" s="28" t="s">
        <v>648</v>
      </c>
    </row>
    <row r="22" spans="1:13">
      <c r="D22" s="275">
        <f>SUM(D13:D21)</f>
        <v>17784</v>
      </c>
      <c r="E22" s="275">
        <f t="shared" ref="E22:F22" si="0">SUM(E13:E21)</f>
        <v>0</v>
      </c>
      <c r="F22" s="275">
        <f t="shared" si="0"/>
        <v>2089.2999999999997</v>
      </c>
    </row>
    <row r="23" spans="1:13" ht="15.75" thickBot="1">
      <c r="D23" s="203" t="s">
        <v>360</v>
      </c>
      <c r="E23" s="204" t="s">
        <v>361</v>
      </c>
      <c r="F23" s="205" t="s">
        <v>362</v>
      </c>
    </row>
    <row r="24" spans="1:13">
      <c r="D24" s="1041"/>
      <c r="E24" s="1041"/>
      <c r="F24" s="1041"/>
    </row>
    <row r="25" spans="1:13" s="1066" customFormat="1" ht="12.75">
      <c r="A25" s="1063" t="s">
        <v>546</v>
      </c>
      <c r="B25" s="1063"/>
      <c r="C25" s="1064"/>
      <c r="D25" s="1065"/>
      <c r="E25" s="1065"/>
      <c r="F25" s="1065"/>
      <c r="G25" s="1063"/>
      <c r="H25" s="1063"/>
      <c r="I25" s="1063"/>
      <c r="J25" s="1063"/>
      <c r="K25" s="1063"/>
      <c r="L25" s="1063"/>
      <c r="M25" s="1063"/>
    </row>
    <row r="26" spans="1:13" s="1066" customFormat="1" ht="12.75">
      <c r="A26" s="1063" t="s">
        <v>533</v>
      </c>
      <c r="B26" s="1063"/>
      <c r="C26" s="1064"/>
      <c r="D26" s="1064"/>
      <c r="E26" s="1064"/>
      <c r="F26" s="1064"/>
      <c r="G26" s="1063"/>
      <c r="H26" s="1063"/>
      <c r="I26" s="1063"/>
      <c r="J26" s="1063"/>
      <c r="K26" s="1063"/>
      <c r="L26" s="1063"/>
      <c r="M26" s="1063"/>
    </row>
    <row r="27" spans="1:13" s="1066" customFormat="1" ht="12.75">
      <c r="A27" s="1063" t="s">
        <v>668</v>
      </c>
      <c r="B27" s="1063"/>
      <c r="C27" s="1064"/>
      <c r="D27" s="1064"/>
      <c r="E27" s="1064"/>
      <c r="F27" s="1064"/>
      <c r="G27" s="1063"/>
      <c r="H27" s="1063"/>
      <c r="I27" s="1063"/>
      <c r="J27" s="1063"/>
      <c r="K27" s="1063"/>
      <c r="L27" s="1063"/>
      <c r="M27" s="1063"/>
    </row>
    <row r="28" spans="1:13" s="1066" customFormat="1" ht="12.75">
      <c r="A28" s="1063" t="s">
        <v>645</v>
      </c>
      <c r="B28" s="1063"/>
      <c r="C28" s="1064"/>
      <c r="D28" s="1064"/>
      <c r="E28" s="1064"/>
      <c r="F28" s="1064"/>
      <c r="G28" s="1063"/>
      <c r="H28" s="1063"/>
      <c r="I28" s="1063"/>
      <c r="J28" s="1063"/>
      <c r="K28" s="1063"/>
      <c r="L28" s="1063"/>
      <c r="M28" s="1063"/>
    </row>
    <row r="29" spans="1:13" s="1066" customFormat="1" ht="12.75">
      <c r="A29" s="1063" t="s">
        <v>534</v>
      </c>
      <c r="B29" s="1063"/>
      <c r="C29" s="1064"/>
      <c r="D29" s="1064"/>
      <c r="E29" s="1064"/>
      <c r="F29" s="1064"/>
      <c r="G29" s="1063"/>
      <c r="H29" s="1063"/>
      <c r="I29" s="1063"/>
      <c r="J29" s="1063"/>
      <c r="K29" s="1063"/>
      <c r="L29" s="1063"/>
      <c r="M29" s="1063"/>
    </row>
    <row r="30" spans="1:13" s="1066" customFormat="1" ht="12.75">
      <c r="A30" s="1063" t="s">
        <v>547</v>
      </c>
      <c r="B30" s="1063"/>
      <c r="C30" s="1064"/>
      <c r="D30" s="1064"/>
      <c r="E30" s="1064"/>
      <c r="F30" s="1064"/>
      <c r="G30" s="1063"/>
      <c r="H30" s="1063"/>
      <c r="I30" s="1063"/>
      <c r="J30" s="1063"/>
      <c r="K30" s="1063"/>
      <c r="L30" s="1063"/>
      <c r="M30" s="1063"/>
    </row>
    <row r="31" spans="1:13" s="1066" customFormat="1" ht="12.75">
      <c r="A31" s="1063" t="s">
        <v>649</v>
      </c>
      <c r="B31" s="1063"/>
      <c r="C31" s="1064"/>
      <c r="D31" s="1064"/>
      <c r="E31" s="1064"/>
      <c r="F31" s="1064"/>
      <c r="G31" s="1063"/>
      <c r="H31" s="1063"/>
      <c r="I31" s="1063"/>
      <c r="J31" s="1063"/>
      <c r="K31" s="1063"/>
      <c r="L31" s="1063"/>
      <c r="M31" s="1063"/>
    </row>
  </sheetData>
  <mergeCells count="7">
    <mergeCell ref="C11:H11"/>
    <mergeCell ref="I11:K11"/>
    <mergeCell ref="A1:B1"/>
    <mergeCell ref="L1:M1"/>
    <mergeCell ref="A10:B10"/>
    <mergeCell ref="C10:K10"/>
    <mergeCell ref="L10:M10"/>
  </mergeCells>
  <pageMargins left="0.7" right="0.7" top="0.75" bottom="0.75" header="0.3" footer="0.3"/>
  <pageSetup paperSize="9" scale="53"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FE853-282A-4E63-A5F3-3C75F2534E57}">
  <dimension ref="A1:F7"/>
  <sheetViews>
    <sheetView zoomScale="75" zoomScaleNormal="75" workbookViewId="0">
      <selection activeCell="H12" sqref="H12"/>
    </sheetView>
  </sheetViews>
  <sheetFormatPr defaultColWidth="8.7109375" defaultRowHeight="15"/>
  <cols>
    <col min="1" max="1" width="45.7109375" bestFit="1" customWidth="1"/>
    <col min="2" max="3" width="11.28515625" bestFit="1" customWidth="1"/>
    <col min="4" max="4" width="9.7109375" bestFit="1" customWidth="1"/>
  </cols>
  <sheetData>
    <row r="1" spans="1:6" ht="21">
      <c r="A1" s="213" t="s">
        <v>491</v>
      </c>
      <c r="B1" s="214"/>
      <c r="C1" s="214"/>
      <c r="D1" s="214"/>
      <c r="F1" s="973" t="s">
        <v>497</v>
      </c>
    </row>
    <row r="2" spans="1:6" ht="21">
      <c r="A2" s="214"/>
      <c r="B2" s="215" t="s">
        <v>367</v>
      </c>
      <c r="C2" s="215" t="s">
        <v>368</v>
      </c>
      <c r="D2" s="215" t="s">
        <v>369</v>
      </c>
    </row>
    <row r="3" spans="1:6" ht="21">
      <c r="A3" s="222" t="s">
        <v>409</v>
      </c>
      <c r="B3" s="223">
        <f>'D4 Employment Worksheet'!D22</f>
        <v>17784</v>
      </c>
      <c r="C3" s="223">
        <f>'D4 Employment Worksheet'!E22</f>
        <v>0</v>
      </c>
      <c r="D3" s="223">
        <f>'D4 Employment Worksheet'!F22</f>
        <v>2089.2999999999997</v>
      </c>
    </row>
    <row r="4" spans="1:6" ht="21">
      <c r="A4" s="214" t="s">
        <v>371</v>
      </c>
      <c r="B4" s="214"/>
      <c r="C4" s="214"/>
      <c r="D4" s="214"/>
    </row>
    <row r="5" spans="1:6" ht="21">
      <c r="A5" s="214" t="s">
        <v>549</v>
      </c>
      <c r="B5" s="214"/>
      <c r="C5" s="214"/>
      <c r="D5" s="214"/>
    </row>
    <row r="6" spans="1:6" ht="21">
      <c r="A6" s="214" t="s">
        <v>550</v>
      </c>
      <c r="B6" s="214"/>
      <c r="C6" s="214"/>
      <c r="D6" s="214"/>
    </row>
    <row r="7" spans="1:6" ht="21">
      <c r="A7" s="214" t="s">
        <v>551</v>
      </c>
      <c r="B7" s="214"/>
      <c r="C7" s="214"/>
      <c r="D7" s="21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6D75-C2B5-4B5D-B8A7-FDAA2B95FA06}">
  <sheetPr>
    <pageSetUpPr fitToPage="1"/>
  </sheetPr>
  <dimension ref="A1:M38"/>
  <sheetViews>
    <sheetView zoomScale="75" zoomScaleNormal="75" workbookViewId="0">
      <selection activeCell="L1" sqref="L1:M1"/>
    </sheetView>
  </sheetViews>
  <sheetFormatPr defaultColWidth="8.7109375" defaultRowHeight="15"/>
  <cols>
    <col min="1" max="1" width="23.42578125" style="2" customWidth="1"/>
    <col min="2" max="2" width="20.7109375" style="7" customWidth="1"/>
    <col min="3" max="3" width="10.7109375" style="5" customWidth="1"/>
    <col min="4" max="6" width="6.7109375" style="5" customWidth="1"/>
    <col min="7" max="8" width="28.7109375" style="7" customWidth="1"/>
    <col min="9" max="9" width="10.7109375" style="7" customWidth="1"/>
    <col min="10" max="11" width="28.7109375" style="7" customWidth="1"/>
    <col min="12" max="13" width="28.7109375" style="2" customWidth="1"/>
  </cols>
  <sheetData>
    <row r="1" spans="1:13" ht="21">
      <c r="A1" s="1152" t="s">
        <v>223</v>
      </c>
      <c r="B1" s="1152"/>
      <c r="C1" s="95"/>
      <c r="D1" s="95"/>
      <c r="E1" s="95"/>
      <c r="F1" s="95"/>
      <c r="G1" s="973" t="s">
        <v>497</v>
      </c>
      <c r="H1" s="172"/>
      <c r="I1" s="172"/>
      <c r="J1" s="120"/>
      <c r="K1" s="120"/>
      <c r="L1" s="1148"/>
      <c r="M1" s="1149"/>
    </row>
    <row r="2" spans="1:13" ht="15" customHeight="1">
      <c r="A2" s="291" t="s">
        <v>333</v>
      </c>
      <c r="B2" t="s">
        <v>282</v>
      </c>
      <c r="C2" s="94"/>
      <c r="D2" s="6"/>
      <c r="E2" s="6"/>
      <c r="F2" s="6"/>
      <c r="G2" s="6"/>
      <c r="H2" s="6"/>
      <c r="I2" s="6"/>
      <c r="J2" s="5"/>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77.650000000000006" customHeight="1" thickBot="1">
      <c r="A10" s="1137"/>
      <c r="B10" s="1138"/>
      <c r="C10" s="1139" t="s">
        <v>1170</v>
      </c>
      <c r="D10" s="1140"/>
      <c r="E10" s="1140"/>
      <c r="F10" s="1140"/>
      <c r="G10" s="1140"/>
      <c r="H10" s="1140"/>
      <c r="I10" s="1140"/>
      <c r="J10" s="1140"/>
      <c r="K10" s="1141"/>
      <c r="L10" s="1135" t="s">
        <v>134</v>
      </c>
      <c r="M10" s="1136"/>
    </row>
    <row r="11" spans="1:13" ht="14.65" customHeight="1">
      <c r="A11" s="672"/>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587" t="s">
        <v>422</v>
      </c>
      <c r="I12" s="608" t="s">
        <v>480</v>
      </c>
      <c r="J12" s="104" t="s">
        <v>523</v>
      </c>
      <c r="K12" s="609" t="s">
        <v>422</v>
      </c>
      <c r="L12" s="602" t="s">
        <v>565</v>
      </c>
      <c r="M12" s="11" t="s">
        <v>566</v>
      </c>
    </row>
    <row r="13" spans="1:13" ht="114.75">
      <c r="A13" s="29" t="s">
        <v>401</v>
      </c>
      <c r="B13" s="725" t="s">
        <v>650</v>
      </c>
      <c r="C13" s="588"/>
      <c r="D13" s="433"/>
      <c r="E13" s="434"/>
      <c r="F13" s="435"/>
      <c r="G13" s="208" t="s">
        <v>1076</v>
      </c>
      <c r="H13" s="635" t="s">
        <v>1042</v>
      </c>
      <c r="I13" s="521"/>
      <c r="J13" s="79"/>
      <c r="K13" s="635"/>
      <c r="L13" s="655" t="s">
        <v>105</v>
      </c>
      <c r="M13" s="22" t="s">
        <v>671</v>
      </c>
    </row>
    <row r="14" spans="1:13" ht="76.5">
      <c r="A14" s="44"/>
      <c r="B14" s="626" t="s">
        <v>651</v>
      </c>
      <c r="C14" s="591"/>
      <c r="D14" s="385"/>
      <c r="E14" s="386"/>
      <c r="F14" s="387"/>
      <c r="G14" s="209" t="s">
        <v>1076</v>
      </c>
      <c r="H14" s="634"/>
      <c r="I14" s="661"/>
      <c r="J14" s="77"/>
      <c r="K14" s="634"/>
      <c r="L14" s="658"/>
      <c r="M14" s="60"/>
    </row>
    <row r="15" spans="1:13" ht="76.5">
      <c r="A15" s="41"/>
      <c r="B15" s="725" t="s">
        <v>652</v>
      </c>
      <c r="C15" s="588"/>
      <c r="D15" s="379"/>
      <c r="E15" s="395"/>
      <c r="F15" s="390"/>
      <c r="G15" s="208" t="s">
        <v>1177</v>
      </c>
      <c r="H15" s="635" t="s">
        <v>1042</v>
      </c>
      <c r="I15" s="521"/>
      <c r="J15" s="79" t="s">
        <v>436</v>
      </c>
      <c r="K15" s="635"/>
      <c r="L15" s="655" t="s">
        <v>106</v>
      </c>
      <c r="M15" s="22" t="s">
        <v>670</v>
      </c>
    </row>
    <row r="16" spans="1:13" ht="51">
      <c r="A16" s="39"/>
      <c r="B16" s="628" t="s">
        <v>173</v>
      </c>
      <c r="C16" s="592"/>
      <c r="D16" s="382"/>
      <c r="E16" s="394"/>
      <c r="F16" s="393"/>
      <c r="G16" s="192" t="s">
        <v>926</v>
      </c>
      <c r="H16" s="590" t="s">
        <v>1042</v>
      </c>
      <c r="I16" s="522"/>
      <c r="J16" s="81" t="s">
        <v>436</v>
      </c>
      <c r="K16" s="590"/>
      <c r="L16" s="656"/>
      <c r="M16" s="24" t="s">
        <v>667</v>
      </c>
    </row>
    <row r="17" spans="1:13" ht="51">
      <c r="A17" s="43"/>
      <c r="B17" s="629" t="s">
        <v>653</v>
      </c>
      <c r="C17" s="591"/>
      <c r="D17" s="385"/>
      <c r="E17" s="386"/>
      <c r="F17" s="387"/>
      <c r="G17" s="209" t="s">
        <v>658</v>
      </c>
      <c r="H17" s="634"/>
      <c r="I17" s="956"/>
      <c r="J17" s="74" t="s">
        <v>408</v>
      </c>
      <c r="K17" s="634"/>
      <c r="L17" s="654"/>
      <c r="M17" s="25"/>
    </row>
    <row r="18" spans="1:13" ht="72" customHeight="1">
      <c r="A18" s="1150" t="s">
        <v>185</v>
      </c>
      <c r="B18" s="674" t="s">
        <v>26</v>
      </c>
      <c r="C18" s="588"/>
      <c r="D18" s="379"/>
      <c r="E18" s="395"/>
      <c r="F18" s="390"/>
      <c r="G18" s="207" t="s">
        <v>658</v>
      </c>
      <c r="H18" s="640"/>
      <c r="I18" s="667"/>
      <c r="J18" s="74" t="s">
        <v>408</v>
      </c>
      <c r="K18" s="640"/>
      <c r="L18" s="714" t="s">
        <v>96</v>
      </c>
      <c r="M18" s="19" t="s">
        <v>666</v>
      </c>
    </row>
    <row r="19" spans="1:13" ht="51">
      <c r="A19" s="1150"/>
      <c r="B19" s="674" t="s">
        <v>27</v>
      </c>
      <c r="C19" s="591"/>
      <c r="D19" s="385"/>
      <c r="E19" s="386"/>
      <c r="F19" s="387"/>
      <c r="G19" s="207" t="s">
        <v>894</v>
      </c>
      <c r="H19" s="635" t="s">
        <v>1042</v>
      </c>
      <c r="I19" s="716"/>
      <c r="J19" s="74" t="s">
        <v>408</v>
      </c>
      <c r="K19" s="640"/>
      <c r="L19" s="659"/>
      <c r="M19" s="19" t="s">
        <v>666</v>
      </c>
    </row>
    <row r="20" spans="1:13" ht="51">
      <c r="A20" s="29" t="s">
        <v>28</v>
      </c>
      <c r="B20" s="623" t="s">
        <v>29</v>
      </c>
      <c r="C20" s="588"/>
      <c r="D20" s="379"/>
      <c r="E20" s="395"/>
      <c r="F20" s="390"/>
      <c r="G20" s="208" t="s">
        <v>894</v>
      </c>
      <c r="H20" s="635" t="s">
        <v>1042</v>
      </c>
      <c r="I20" s="521"/>
      <c r="J20" s="79"/>
      <c r="K20" s="635"/>
      <c r="L20" s="653"/>
      <c r="M20" s="27"/>
    </row>
    <row r="21" spans="1:13" ht="51">
      <c r="A21" s="41"/>
      <c r="B21" s="625" t="s">
        <v>187</v>
      </c>
      <c r="C21" s="592"/>
      <c r="D21" s="382"/>
      <c r="E21" s="394"/>
      <c r="F21" s="393"/>
      <c r="G21" s="192" t="s">
        <v>894</v>
      </c>
      <c r="H21" s="590" t="s">
        <v>1042</v>
      </c>
      <c r="I21" s="522"/>
      <c r="J21" s="81"/>
      <c r="K21" s="590"/>
      <c r="L21" s="656"/>
      <c r="M21" s="23"/>
    </row>
    <row r="22" spans="1:13" ht="51">
      <c r="A22" s="54"/>
      <c r="B22" s="624" t="s">
        <v>657</v>
      </c>
      <c r="C22" s="775"/>
      <c r="D22" s="439"/>
      <c r="E22" s="440"/>
      <c r="F22" s="441"/>
      <c r="G22" s="209" t="s">
        <v>894</v>
      </c>
      <c r="H22" s="634" t="s">
        <v>1042</v>
      </c>
      <c r="I22" s="661"/>
      <c r="J22" s="77"/>
      <c r="K22" s="634"/>
      <c r="L22" s="654"/>
      <c r="M22" s="25"/>
    </row>
    <row r="23" spans="1:13" ht="42" customHeight="1">
      <c r="A23" s="1154" t="s">
        <v>1178</v>
      </c>
      <c r="B23" s="623" t="s">
        <v>398</v>
      </c>
      <c r="C23" s="776"/>
      <c r="D23" s="436"/>
      <c r="E23" s="437"/>
      <c r="F23" s="438"/>
      <c r="G23" s="208" t="s">
        <v>894</v>
      </c>
      <c r="H23" s="635"/>
      <c r="I23" s="716"/>
      <c r="J23" s="74" t="s">
        <v>408</v>
      </c>
      <c r="K23" s="635"/>
      <c r="L23" s="653"/>
      <c r="M23" s="22" t="s">
        <v>30</v>
      </c>
    </row>
    <row r="24" spans="1:13" ht="25.5">
      <c r="A24" s="1154"/>
      <c r="B24" s="624" t="s">
        <v>188</v>
      </c>
      <c r="C24" s="775"/>
      <c r="D24" s="439"/>
      <c r="E24" s="440"/>
      <c r="F24" s="441"/>
      <c r="G24" s="209" t="s">
        <v>178</v>
      </c>
      <c r="H24" s="634"/>
      <c r="I24" s="661"/>
      <c r="J24" s="480" t="s">
        <v>330</v>
      </c>
      <c r="K24" s="745" t="s">
        <v>330</v>
      </c>
      <c r="L24" s="654"/>
      <c r="M24" s="28" t="s">
        <v>30</v>
      </c>
    </row>
    <row r="25" spans="1:13" ht="31.9" customHeight="1">
      <c r="A25" s="20" t="s">
        <v>110</v>
      </c>
      <c r="B25" s="630" t="s">
        <v>654</v>
      </c>
      <c r="C25" s="775"/>
      <c r="D25" s="488"/>
      <c r="E25" s="489"/>
      <c r="F25" s="490"/>
      <c r="G25" s="207" t="s">
        <v>399</v>
      </c>
      <c r="H25" s="640"/>
      <c r="I25" s="667"/>
      <c r="J25" s="74"/>
      <c r="K25" s="640"/>
      <c r="L25" s="659"/>
      <c r="M25" s="19" t="s">
        <v>665</v>
      </c>
    </row>
    <row r="26" spans="1:13" ht="140.25">
      <c r="A26" s="66" t="s">
        <v>68</v>
      </c>
      <c r="B26" s="677" t="s">
        <v>337</v>
      </c>
      <c r="C26" s="776"/>
      <c r="D26" s="467"/>
      <c r="E26" s="468"/>
      <c r="F26" s="469"/>
      <c r="G26" s="308" t="s">
        <v>659</v>
      </c>
      <c r="H26" s="769" t="s">
        <v>669</v>
      </c>
      <c r="I26" s="957"/>
      <c r="J26" s="91" t="s">
        <v>1043</v>
      </c>
      <c r="K26" s="741" t="s">
        <v>338</v>
      </c>
      <c r="L26" s="905" t="s">
        <v>1179</v>
      </c>
      <c r="M26" s="326"/>
    </row>
    <row r="27" spans="1:13" ht="150.4" customHeight="1">
      <c r="A27" s="136"/>
      <c r="B27" s="721" t="s">
        <v>69</v>
      </c>
      <c r="C27" s="777"/>
      <c r="D27" s="456"/>
      <c r="E27" s="457"/>
      <c r="F27" s="458"/>
      <c r="G27" s="566" t="s">
        <v>660</v>
      </c>
      <c r="H27" s="811" t="s">
        <v>662</v>
      </c>
      <c r="I27" s="958"/>
      <c r="J27" s="485" t="s">
        <v>330</v>
      </c>
      <c r="K27" s="959" t="s">
        <v>330</v>
      </c>
      <c r="L27" s="907" t="s">
        <v>663</v>
      </c>
      <c r="M27" s="327"/>
    </row>
    <row r="28" spans="1:13" ht="89.25">
      <c r="A28" s="46"/>
      <c r="B28" s="964" t="s">
        <v>655</v>
      </c>
      <c r="C28" s="777"/>
      <c r="D28" s="442"/>
      <c r="E28" s="443"/>
      <c r="F28" s="444"/>
      <c r="G28" s="309" t="s">
        <v>661</v>
      </c>
      <c r="H28" s="961"/>
      <c r="I28" s="960"/>
      <c r="J28" s="86" t="s">
        <v>417</v>
      </c>
      <c r="K28" s="961"/>
      <c r="L28" s="955"/>
      <c r="M28" s="24" t="s">
        <v>672</v>
      </c>
    </row>
    <row r="29" spans="1:13" ht="77.25" thickBot="1">
      <c r="A29" s="69"/>
      <c r="B29" s="679" t="s">
        <v>656</v>
      </c>
      <c r="C29" s="807"/>
      <c r="D29" s="491"/>
      <c r="E29" s="492"/>
      <c r="F29" s="493"/>
      <c r="G29" s="965" t="s">
        <v>661</v>
      </c>
      <c r="H29" s="1042" t="s">
        <v>1042</v>
      </c>
      <c r="I29" s="962"/>
      <c r="J29" s="698" t="s">
        <v>417</v>
      </c>
      <c r="K29" s="963"/>
      <c r="L29" s="905" t="s">
        <v>664</v>
      </c>
      <c r="M29" s="34"/>
    </row>
    <row r="30" spans="1:13">
      <c r="D30" s="275">
        <f>SUM(D13:D29)</f>
        <v>0</v>
      </c>
      <c r="E30" s="275">
        <f t="shared" ref="E30:F30" si="0">SUM(E13:E29)</f>
        <v>0</v>
      </c>
      <c r="F30" s="275">
        <f t="shared" si="0"/>
        <v>0</v>
      </c>
    </row>
    <row r="31" spans="1:13" ht="15.75" thickBot="1">
      <c r="D31" s="203" t="s">
        <v>360</v>
      </c>
      <c r="E31" s="204" t="s">
        <v>361</v>
      </c>
      <c r="F31" s="205" t="s">
        <v>362</v>
      </c>
    </row>
    <row r="33" spans="1:13" s="1059" customFormat="1" ht="12.75">
      <c r="A33" s="1067" t="s">
        <v>546</v>
      </c>
      <c r="B33" s="1067"/>
      <c r="C33" s="1068"/>
      <c r="D33" s="1060"/>
      <c r="E33" s="1060"/>
      <c r="F33" s="1060"/>
      <c r="G33" s="180"/>
      <c r="H33" s="180"/>
      <c r="I33" s="180"/>
      <c r="J33" s="180"/>
      <c r="K33" s="180"/>
      <c r="L33" s="1062"/>
      <c r="M33" s="1062"/>
    </row>
    <row r="34" spans="1:13" s="1059" customFormat="1" ht="12.75">
      <c r="A34" s="1067" t="s">
        <v>533</v>
      </c>
      <c r="B34" s="1067"/>
      <c r="C34" s="1068"/>
      <c r="D34" s="1060"/>
      <c r="E34" s="1060"/>
      <c r="F34" s="1060"/>
      <c r="G34" s="180"/>
      <c r="H34" s="180"/>
      <c r="I34" s="180"/>
      <c r="J34" s="180"/>
      <c r="K34" s="180"/>
      <c r="L34" s="1062"/>
      <c r="M34" s="1062"/>
    </row>
    <row r="35" spans="1:13" s="1059" customFormat="1" ht="12.75">
      <c r="A35" s="1067" t="s">
        <v>645</v>
      </c>
      <c r="B35" s="1067"/>
      <c r="C35" s="1067"/>
      <c r="D35" s="1060"/>
      <c r="E35" s="1060"/>
      <c r="F35" s="1060"/>
      <c r="G35" s="180"/>
      <c r="H35" s="180"/>
      <c r="I35" s="180"/>
      <c r="J35" s="180"/>
      <c r="K35" s="180"/>
      <c r="L35" s="1062"/>
      <c r="M35" s="1062"/>
    </row>
    <row r="36" spans="1:13" s="1059" customFormat="1" ht="12.75">
      <c r="A36" s="1067" t="s">
        <v>534</v>
      </c>
      <c r="B36" s="1067"/>
      <c r="C36" s="1068"/>
      <c r="D36" s="1060"/>
      <c r="E36" s="1060"/>
      <c r="F36" s="1060"/>
      <c r="G36" s="180"/>
      <c r="H36" s="180"/>
      <c r="I36" s="180"/>
      <c r="J36" s="180"/>
      <c r="K36" s="180"/>
      <c r="L36" s="1062"/>
      <c r="M36" s="1062"/>
    </row>
    <row r="37" spans="1:13" s="1059" customFormat="1" ht="12.75">
      <c r="A37" s="1067" t="s">
        <v>673</v>
      </c>
      <c r="B37" s="1067"/>
      <c r="C37" s="1068"/>
      <c r="D37" s="1060"/>
      <c r="E37" s="1060"/>
      <c r="F37" s="1060"/>
      <c r="G37" s="180"/>
      <c r="H37" s="180"/>
      <c r="I37" s="180"/>
      <c r="J37" s="180"/>
      <c r="K37" s="180"/>
      <c r="L37" s="1062"/>
      <c r="M37" s="1062"/>
    </row>
    <row r="38" spans="1:13">
      <c r="A38" s="1043"/>
      <c r="B38" s="1043"/>
      <c r="C38" s="1044"/>
    </row>
  </sheetData>
  <mergeCells count="9">
    <mergeCell ref="A18:A19"/>
    <mergeCell ref="L1:M1"/>
    <mergeCell ref="A23:A24"/>
    <mergeCell ref="A1:B1"/>
    <mergeCell ref="A10:B10"/>
    <mergeCell ref="C10:K10"/>
    <mergeCell ref="L10:M10"/>
    <mergeCell ref="C11:H11"/>
    <mergeCell ref="I11:K11"/>
  </mergeCells>
  <pageMargins left="0.7" right="0.7" top="0.75" bottom="0.75" header="0.3" footer="0.3"/>
  <pageSetup paperSize="9" scale="57"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7280F-BB01-437F-8683-990F9793503E}">
  <dimension ref="A1:F7"/>
  <sheetViews>
    <sheetView zoomScale="75" zoomScaleNormal="75" workbookViewId="0">
      <selection activeCell="B5" sqref="B5"/>
    </sheetView>
  </sheetViews>
  <sheetFormatPr defaultColWidth="8.7109375" defaultRowHeight="15"/>
  <cols>
    <col min="1" max="1" width="45.7109375" bestFit="1" customWidth="1"/>
    <col min="2" max="2" width="11.28515625" bestFit="1" customWidth="1"/>
    <col min="3" max="3" width="7.140625" bestFit="1" customWidth="1"/>
    <col min="4" max="4" width="9.7109375" bestFit="1" customWidth="1"/>
  </cols>
  <sheetData>
    <row r="1" spans="1:6" ht="21">
      <c r="A1" s="213" t="s">
        <v>492</v>
      </c>
      <c r="B1" s="214"/>
      <c r="C1" s="214"/>
      <c r="D1" s="214"/>
      <c r="F1" s="973" t="s">
        <v>497</v>
      </c>
    </row>
    <row r="2" spans="1:6" ht="21">
      <c r="A2" s="214"/>
      <c r="B2" s="215" t="s">
        <v>367</v>
      </c>
      <c r="C2" s="215" t="s">
        <v>368</v>
      </c>
      <c r="D2" s="215" t="s">
        <v>369</v>
      </c>
    </row>
    <row r="3" spans="1:6" ht="21">
      <c r="A3" s="222" t="s">
        <v>409</v>
      </c>
      <c r="B3" s="223">
        <f>'D5 Environment Worksheet'!D30</f>
        <v>0</v>
      </c>
      <c r="C3" s="223">
        <f>'D5 Environment Worksheet'!E30</f>
        <v>0</v>
      </c>
      <c r="D3" s="223">
        <f>'D5 Environment Worksheet'!F30</f>
        <v>0</v>
      </c>
    </row>
    <row r="4" spans="1:6" ht="21">
      <c r="A4" s="214" t="s">
        <v>371</v>
      </c>
      <c r="B4" s="214"/>
      <c r="C4" s="214"/>
      <c r="D4" s="214"/>
    </row>
    <row r="5" spans="1:6" ht="21">
      <c r="A5" s="214" t="s">
        <v>549</v>
      </c>
      <c r="B5" s="214"/>
      <c r="C5" s="214"/>
      <c r="D5" s="214"/>
    </row>
    <row r="6" spans="1:6" ht="21">
      <c r="A6" s="214" t="s">
        <v>550</v>
      </c>
      <c r="B6" s="214"/>
      <c r="C6" s="214"/>
      <c r="D6" s="214"/>
    </row>
    <row r="7" spans="1:6" ht="21">
      <c r="A7" s="214" t="s">
        <v>551</v>
      </c>
      <c r="B7" s="214"/>
      <c r="C7" s="214"/>
      <c r="D7" s="21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1762-E5FF-45A1-83F5-C68F25AB0301}">
  <sheetPr>
    <pageSetUpPr fitToPage="1"/>
  </sheetPr>
  <dimension ref="A1:O46"/>
  <sheetViews>
    <sheetView zoomScale="75" zoomScaleNormal="75" workbookViewId="0">
      <selection activeCell="M1" sqref="M1"/>
    </sheetView>
  </sheetViews>
  <sheetFormatPr defaultColWidth="8.7109375" defaultRowHeight="15"/>
  <cols>
    <col min="1" max="2" width="20.7109375" style="2" customWidth="1"/>
    <col min="3" max="3" width="9.7109375" style="5" customWidth="1"/>
    <col min="4" max="4" width="7.42578125" style="5" bestFit="1" customWidth="1"/>
    <col min="5" max="5" width="6.7109375" style="5" customWidth="1"/>
    <col min="6" max="6" width="7.42578125" style="5" bestFit="1" customWidth="1"/>
    <col min="7" max="8" width="28.7109375" style="2" customWidth="1"/>
    <col min="9" max="9" width="10.7109375" style="2" customWidth="1"/>
    <col min="10" max="13" width="28.7109375" style="2" customWidth="1"/>
  </cols>
  <sheetData>
    <row r="1" spans="1:13" ht="21">
      <c r="A1" s="1152" t="s">
        <v>674</v>
      </c>
      <c r="B1" s="1152"/>
      <c r="C1" s="95"/>
      <c r="D1" s="95"/>
      <c r="E1" s="95"/>
      <c r="F1" s="95"/>
      <c r="G1" s="973" t="s">
        <v>497</v>
      </c>
      <c r="H1" s="121"/>
      <c r="I1" s="121"/>
      <c r="J1" s="121"/>
      <c r="K1" s="120"/>
      <c r="L1" s="182"/>
      <c r="M1" s="183"/>
    </row>
    <row r="2" spans="1:13" ht="15" customHeight="1">
      <c r="A2" s="291" t="s">
        <v>333</v>
      </c>
      <c r="B2" t="s">
        <v>282</v>
      </c>
      <c r="C2" s="94"/>
      <c r="D2" s="6"/>
      <c r="E2" s="6"/>
      <c r="F2" s="6"/>
      <c r="G2" s="6"/>
      <c r="H2" s="6"/>
      <c r="I2" s="6"/>
      <c r="J2" s="5"/>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77.650000000000006" customHeight="1" thickBot="1">
      <c r="A10" s="1137"/>
      <c r="B10" s="1138"/>
      <c r="C10" s="1139" t="s">
        <v>1170</v>
      </c>
      <c r="D10" s="1140"/>
      <c r="E10" s="1140"/>
      <c r="F10" s="1140"/>
      <c r="G10" s="1140"/>
      <c r="H10" s="1140"/>
      <c r="I10" s="1140"/>
      <c r="J10" s="1140"/>
      <c r="K10" s="1141"/>
      <c r="L10" s="1135" t="s">
        <v>134</v>
      </c>
      <c r="M10" s="1136"/>
    </row>
    <row r="11" spans="1:13" ht="14.65" customHeight="1">
      <c r="A11" s="672" t="s">
        <v>263</v>
      </c>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587" t="s">
        <v>422</v>
      </c>
      <c r="I12" s="608" t="s">
        <v>480</v>
      </c>
      <c r="J12" s="104" t="s">
        <v>523</v>
      </c>
      <c r="K12" s="609" t="s">
        <v>422</v>
      </c>
      <c r="L12" s="602" t="s">
        <v>565</v>
      </c>
      <c r="M12" s="11" t="s">
        <v>566</v>
      </c>
    </row>
    <row r="13" spans="1:13" ht="76.5">
      <c r="A13" s="29" t="s">
        <v>675</v>
      </c>
      <c r="B13" s="623" t="s">
        <v>259</v>
      </c>
      <c r="C13" s="313"/>
      <c r="D13" s="436"/>
      <c r="E13" s="437"/>
      <c r="F13" s="438"/>
      <c r="G13" s="208" t="s">
        <v>1120</v>
      </c>
      <c r="H13" s="635"/>
      <c r="I13" s="521"/>
      <c r="J13" s="79"/>
      <c r="K13" s="635"/>
      <c r="L13" s="655" t="s">
        <v>1080</v>
      </c>
      <c r="M13" s="22"/>
    </row>
    <row r="14" spans="1:13" ht="63.75">
      <c r="A14" s="39"/>
      <c r="B14" s="625" t="s">
        <v>32</v>
      </c>
      <c r="C14" s="636"/>
      <c r="D14" s="382"/>
      <c r="E14" s="394"/>
      <c r="F14" s="393"/>
      <c r="G14" s="192" t="s">
        <v>1120</v>
      </c>
      <c r="H14" s="590" t="s">
        <v>1180</v>
      </c>
      <c r="I14" s="522"/>
      <c r="J14" s="81" t="s">
        <v>408</v>
      </c>
      <c r="K14" s="590" t="s">
        <v>681</v>
      </c>
      <c r="L14" s="603" t="s">
        <v>687</v>
      </c>
      <c r="M14" s="24"/>
    </row>
    <row r="15" spans="1:13" ht="56.25" customHeight="1">
      <c r="A15" s="39"/>
      <c r="B15" s="628" t="s">
        <v>192</v>
      </c>
      <c r="C15" s="636"/>
      <c r="D15" s="382">
        <v>1872</v>
      </c>
      <c r="E15" s="394"/>
      <c r="F15" s="393"/>
      <c r="G15" s="192" t="s">
        <v>1121</v>
      </c>
      <c r="H15" s="590" t="s">
        <v>678</v>
      </c>
      <c r="I15" s="522"/>
      <c r="J15" s="81" t="s">
        <v>408</v>
      </c>
      <c r="K15" s="590"/>
      <c r="L15" s="603" t="s">
        <v>1191</v>
      </c>
      <c r="M15" s="24"/>
    </row>
    <row r="16" spans="1:13" ht="325.89999999999998" customHeight="1">
      <c r="A16" s="41"/>
      <c r="B16" s="625" t="s">
        <v>33</v>
      </c>
      <c r="C16" s="636"/>
      <c r="D16" s="382">
        <v>4864</v>
      </c>
      <c r="E16" s="394"/>
      <c r="F16" s="393"/>
      <c r="G16" s="192" t="s">
        <v>1126</v>
      </c>
      <c r="H16" s="590" t="s">
        <v>1181</v>
      </c>
      <c r="I16" s="522"/>
      <c r="J16" s="81" t="s">
        <v>418</v>
      </c>
      <c r="K16" s="590" t="s">
        <v>683</v>
      </c>
      <c r="L16" s="603" t="s">
        <v>109</v>
      </c>
      <c r="M16" s="24"/>
    </row>
    <row r="17" spans="1:15" ht="52.5" customHeight="1">
      <c r="A17" s="41"/>
      <c r="B17" s="625" t="s">
        <v>261</v>
      </c>
      <c r="C17" s="636"/>
      <c r="D17" s="382"/>
      <c r="E17" s="394"/>
      <c r="F17" s="393"/>
      <c r="G17" s="192" t="s">
        <v>184</v>
      </c>
      <c r="H17" s="590"/>
      <c r="I17" s="522"/>
      <c r="J17" s="81"/>
      <c r="K17" s="590"/>
      <c r="L17" s="656"/>
      <c r="M17" s="47" t="s">
        <v>691</v>
      </c>
    </row>
    <row r="18" spans="1:15" ht="25.5">
      <c r="A18" s="41"/>
      <c r="B18" s="625" t="s">
        <v>154</v>
      </c>
      <c r="C18" s="321"/>
      <c r="D18" s="442"/>
      <c r="E18" s="443"/>
      <c r="F18" s="444"/>
      <c r="G18" s="192" t="s">
        <v>183</v>
      </c>
      <c r="H18" s="590"/>
      <c r="I18" s="522"/>
      <c r="J18" s="81"/>
      <c r="K18" s="590"/>
      <c r="L18" s="603"/>
      <c r="M18" s="25"/>
    </row>
    <row r="19" spans="1:15" ht="267.75">
      <c r="A19" s="41"/>
      <c r="B19" s="625" t="s">
        <v>403</v>
      </c>
      <c r="C19" s="636"/>
      <c r="D19" s="382">
        <v>18000</v>
      </c>
      <c r="E19" s="394"/>
      <c r="F19" s="393"/>
      <c r="G19" s="192" t="s">
        <v>1015</v>
      </c>
      <c r="H19" s="590" t="s">
        <v>1084</v>
      </c>
      <c r="I19" s="522"/>
      <c r="J19" s="81" t="s">
        <v>680</v>
      </c>
      <c r="K19" s="590" t="s">
        <v>684</v>
      </c>
      <c r="L19" s="603" t="s">
        <v>122</v>
      </c>
      <c r="M19" s="23"/>
    </row>
    <row r="20" spans="1:15" ht="204">
      <c r="A20" s="41"/>
      <c r="B20" s="625" t="s">
        <v>404</v>
      </c>
      <c r="C20" s="636"/>
      <c r="D20" s="382">
        <f>1565*1.7</f>
        <v>2660.5</v>
      </c>
      <c r="E20" s="394"/>
      <c r="F20" s="393"/>
      <c r="G20" s="192" t="s">
        <v>1015</v>
      </c>
      <c r="H20" s="590" t="s">
        <v>1083</v>
      </c>
      <c r="I20" s="522"/>
      <c r="J20" s="81" t="s">
        <v>945</v>
      </c>
      <c r="K20" s="590" t="s">
        <v>685</v>
      </c>
      <c r="L20" s="603" t="s">
        <v>122</v>
      </c>
      <c r="M20" s="56"/>
    </row>
    <row r="21" spans="1:15" ht="51">
      <c r="A21" s="41"/>
      <c r="B21" s="625" t="s">
        <v>351</v>
      </c>
      <c r="C21" s="636"/>
      <c r="D21" s="382">
        <v>2462</v>
      </c>
      <c r="E21" s="394"/>
      <c r="F21" s="393"/>
      <c r="G21" s="192" t="s">
        <v>956</v>
      </c>
      <c r="H21" s="590" t="s">
        <v>1182</v>
      </c>
      <c r="I21" s="522"/>
      <c r="J21" s="81" t="s">
        <v>408</v>
      </c>
      <c r="K21" s="590"/>
      <c r="L21" s="603"/>
      <c r="M21" s="56"/>
    </row>
    <row r="22" spans="1:15" ht="25.5">
      <c r="A22" s="41"/>
      <c r="B22" s="625" t="s">
        <v>153</v>
      </c>
      <c r="C22" s="321"/>
      <c r="D22" s="442"/>
      <c r="E22" s="443"/>
      <c r="F22" s="444"/>
      <c r="G22" s="192" t="s">
        <v>183</v>
      </c>
      <c r="H22" s="590"/>
      <c r="I22" s="522"/>
      <c r="J22" s="81" t="s">
        <v>408</v>
      </c>
      <c r="K22" s="590"/>
      <c r="L22" s="603"/>
      <c r="M22" s="23"/>
    </row>
    <row r="23" spans="1:15" ht="127.5">
      <c r="A23" s="54"/>
      <c r="B23" s="624" t="s">
        <v>262</v>
      </c>
      <c r="C23" s="195"/>
      <c r="D23" s="385"/>
      <c r="E23" s="386"/>
      <c r="F23" s="387"/>
      <c r="G23" s="209" t="s">
        <v>1125</v>
      </c>
      <c r="H23" s="634" t="s">
        <v>679</v>
      </c>
      <c r="I23" s="661"/>
      <c r="J23" s="77" t="s">
        <v>408</v>
      </c>
      <c r="K23" s="634" t="s">
        <v>682</v>
      </c>
      <c r="L23" s="658" t="s">
        <v>103</v>
      </c>
      <c r="M23" s="28" t="s">
        <v>690</v>
      </c>
    </row>
    <row r="24" spans="1:15" ht="191.25">
      <c r="A24" s="41" t="s">
        <v>676</v>
      </c>
      <c r="B24" s="623" t="s">
        <v>405</v>
      </c>
      <c r="C24" s="313"/>
      <c r="D24" s="1045">
        <v>4846</v>
      </c>
      <c r="E24" s="437"/>
      <c r="F24" s="438"/>
      <c r="G24" s="208" t="s">
        <v>956</v>
      </c>
      <c r="H24" s="1110" t="s">
        <v>1183</v>
      </c>
      <c r="I24" s="521"/>
      <c r="J24" s="79" t="s">
        <v>408</v>
      </c>
      <c r="K24" s="635" t="s">
        <v>686</v>
      </c>
      <c r="L24" s="655" t="s">
        <v>191</v>
      </c>
      <c r="M24" s="22" t="s">
        <v>689</v>
      </c>
    </row>
    <row r="25" spans="1:15" ht="86.65" customHeight="1">
      <c r="A25" s="39"/>
      <c r="B25" s="625" t="s">
        <v>406</v>
      </c>
      <c r="C25" s="311"/>
      <c r="D25" s="445"/>
      <c r="E25" s="446"/>
      <c r="F25" s="447"/>
      <c r="G25" s="192" t="s">
        <v>1122</v>
      </c>
      <c r="H25" s="1111"/>
      <c r="I25" s="522"/>
      <c r="J25" s="81" t="s">
        <v>418</v>
      </c>
      <c r="K25" s="590" t="s">
        <v>686</v>
      </c>
      <c r="L25" s="603" t="s">
        <v>89</v>
      </c>
      <c r="M25" s="24" t="s">
        <v>692</v>
      </c>
    </row>
    <row r="26" spans="1:15" ht="395.25">
      <c r="A26" s="29" t="s">
        <v>37</v>
      </c>
      <c r="B26" s="623" t="s">
        <v>37</v>
      </c>
      <c r="C26" s="313"/>
      <c r="D26" s="436"/>
      <c r="E26" s="437"/>
      <c r="F26" s="438"/>
      <c r="G26" s="208" t="s">
        <v>1123</v>
      </c>
      <c r="H26" s="1110" t="s">
        <v>1184</v>
      </c>
      <c r="I26" s="521"/>
      <c r="J26" s="79" t="s">
        <v>408</v>
      </c>
      <c r="K26" s="635" t="s">
        <v>1081</v>
      </c>
      <c r="L26" s="653" t="s">
        <v>1079</v>
      </c>
      <c r="M26" s="22" t="s">
        <v>944</v>
      </c>
      <c r="O26" t="s">
        <v>385</v>
      </c>
    </row>
    <row r="27" spans="1:15" ht="83.25" customHeight="1" thickBot="1">
      <c r="A27" s="39"/>
      <c r="B27" s="846" t="s">
        <v>677</v>
      </c>
      <c r="C27" s="619"/>
      <c r="D27" s="597">
        <f>148*1.11</f>
        <v>164.28</v>
      </c>
      <c r="E27" s="598"/>
      <c r="F27" s="599"/>
      <c r="G27" s="645" t="s">
        <v>1124</v>
      </c>
      <c r="H27" s="646" t="s">
        <v>1082</v>
      </c>
      <c r="I27" s="670"/>
      <c r="J27" s="671"/>
      <c r="K27" s="646"/>
      <c r="L27" s="925" t="s">
        <v>111</v>
      </c>
      <c r="M27" s="47" t="s">
        <v>688</v>
      </c>
    </row>
    <row r="28" spans="1:15">
      <c r="A28" s="429"/>
      <c r="B28" s="116"/>
      <c r="D28" s="874">
        <f>SUM(D13:D27)</f>
        <v>34868.78</v>
      </c>
      <c r="E28" s="875">
        <f>SUM(E13:E27)</f>
        <v>0</v>
      </c>
      <c r="F28" s="876">
        <f>SUM(F13:F27)</f>
        <v>0</v>
      </c>
      <c r="G28" s="112"/>
      <c r="H28" s="112"/>
      <c r="I28" s="112"/>
      <c r="J28" s="112"/>
      <c r="K28" s="112"/>
      <c r="L28" s="116"/>
      <c r="M28" s="116"/>
    </row>
    <row r="29" spans="1:15" ht="15.75" thickBot="1">
      <c r="A29" s="7"/>
      <c r="B29" s="112"/>
      <c r="D29" s="203" t="s">
        <v>360</v>
      </c>
      <c r="E29" s="204" t="s">
        <v>361</v>
      </c>
      <c r="F29" s="205" t="s">
        <v>362</v>
      </c>
      <c r="G29" s="112"/>
      <c r="H29" s="112"/>
      <c r="I29" s="112"/>
      <c r="J29" s="112"/>
      <c r="K29" s="112"/>
      <c r="L29" s="112"/>
      <c r="M29" s="112"/>
    </row>
    <row r="30" spans="1:15" ht="14.65" customHeight="1">
      <c r="A30" s="672" t="s">
        <v>264</v>
      </c>
      <c r="B30" s="673"/>
      <c r="C30" s="1142" t="s">
        <v>486</v>
      </c>
      <c r="D30" s="1143"/>
      <c r="E30" s="1143"/>
      <c r="F30" s="1143"/>
      <c r="G30" s="1143"/>
      <c r="H30" s="1144"/>
      <c r="I30" s="1142" t="s">
        <v>479</v>
      </c>
      <c r="J30" s="1145"/>
      <c r="K30" s="1146"/>
      <c r="L30" s="564"/>
      <c r="M30" s="561"/>
    </row>
    <row r="31" spans="1:15" ht="25.5">
      <c r="A31" s="138" t="s">
        <v>131</v>
      </c>
      <c r="B31" s="575" t="s">
        <v>117</v>
      </c>
      <c r="C31" s="586" t="s">
        <v>480</v>
      </c>
      <c r="D31" s="570" t="s">
        <v>360</v>
      </c>
      <c r="E31" s="571" t="s">
        <v>361</v>
      </c>
      <c r="F31" s="572" t="s">
        <v>362</v>
      </c>
      <c r="G31" s="573" t="s">
        <v>599</v>
      </c>
      <c r="H31" s="587" t="s">
        <v>422</v>
      </c>
      <c r="I31" s="608" t="s">
        <v>480</v>
      </c>
      <c r="J31" s="104" t="s">
        <v>523</v>
      </c>
      <c r="K31" s="609" t="s">
        <v>422</v>
      </c>
      <c r="L31" s="602" t="s">
        <v>565</v>
      </c>
      <c r="M31" s="11" t="s">
        <v>566</v>
      </c>
    </row>
    <row r="32" spans="1:15" ht="239.25" customHeight="1">
      <c r="A32" s="154" t="s">
        <v>297</v>
      </c>
      <c r="B32" s="628" t="s">
        <v>693</v>
      </c>
      <c r="C32" s="592" t="s">
        <v>330</v>
      </c>
      <c r="D32" s="382"/>
      <c r="E32" s="394"/>
      <c r="F32" s="393">
        <f>12470*1.7</f>
        <v>21199</v>
      </c>
      <c r="G32" s="192" t="s">
        <v>695</v>
      </c>
      <c r="H32" s="590" t="s">
        <v>1086</v>
      </c>
      <c r="I32" s="522"/>
      <c r="J32" s="81" t="s">
        <v>416</v>
      </c>
      <c r="K32" s="590" t="s">
        <v>931</v>
      </c>
      <c r="L32" s="603" t="s">
        <v>1078</v>
      </c>
      <c r="M32" s="24" t="s">
        <v>699</v>
      </c>
    </row>
    <row r="33" spans="1:13" ht="191.25">
      <c r="A33" s="20" t="s">
        <v>35</v>
      </c>
      <c r="B33" s="623" t="s">
        <v>36</v>
      </c>
      <c r="C33" s="953"/>
      <c r="D33" s="467"/>
      <c r="E33" s="1046">
        <f>3570*1.11</f>
        <v>3962.7000000000003</v>
      </c>
      <c r="F33" s="469"/>
      <c r="G33" s="208" t="s">
        <v>1127</v>
      </c>
      <c r="H33" s="635" t="s">
        <v>1087</v>
      </c>
      <c r="I33" s="521"/>
      <c r="J33" s="79" t="s">
        <v>408</v>
      </c>
      <c r="K33" s="635" t="s">
        <v>1085</v>
      </c>
      <c r="L33" s="655" t="s">
        <v>112</v>
      </c>
      <c r="M33" s="22" t="s">
        <v>396</v>
      </c>
    </row>
    <row r="34" spans="1:13" ht="124.15" customHeight="1">
      <c r="A34" s="45" t="s">
        <v>142</v>
      </c>
      <c r="B34" s="952" t="s">
        <v>694</v>
      </c>
      <c r="C34" s="776"/>
      <c r="D34" s="436"/>
      <c r="E34" s="437"/>
      <c r="F34" s="438"/>
      <c r="G34" s="430" t="s">
        <v>927</v>
      </c>
      <c r="H34" s="820" t="s">
        <v>696</v>
      </c>
      <c r="I34" s="954"/>
      <c r="J34" s="85" t="s">
        <v>408</v>
      </c>
      <c r="K34" s="820" t="s">
        <v>698</v>
      </c>
      <c r="L34" s="655" t="s">
        <v>1077</v>
      </c>
      <c r="M34" s="48"/>
    </row>
    <row r="35" spans="1:13" ht="76.5">
      <c r="A35" s="46"/>
      <c r="B35" s="625" t="s">
        <v>300</v>
      </c>
      <c r="C35" s="777"/>
      <c r="D35" s="442"/>
      <c r="E35" s="443"/>
      <c r="F35" s="444">
        <f>428*1.7</f>
        <v>727.6</v>
      </c>
      <c r="G35" s="192" t="s">
        <v>1128</v>
      </c>
      <c r="H35" s="590" t="s">
        <v>697</v>
      </c>
      <c r="I35" s="522"/>
      <c r="J35" s="81" t="s">
        <v>408</v>
      </c>
      <c r="K35" s="590"/>
      <c r="L35" s="656"/>
      <c r="M35" s="23"/>
    </row>
    <row r="36" spans="1:13" ht="63.75">
      <c r="A36" s="41"/>
      <c r="B36" s="625" t="s">
        <v>298</v>
      </c>
      <c r="C36" s="777"/>
      <c r="D36" s="442"/>
      <c r="E36" s="443"/>
      <c r="F36" s="444"/>
      <c r="G36" s="192" t="s">
        <v>899</v>
      </c>
      <c r="H36" s="590"/>
      <c r="I36" s="522"/>
      <c r="J36" s="478" t="s">
        <v>330</v>
      </c>
      <c r="K36" s="666" t="s">
        <v>330</v>
      </c>
      <c r="L36" s="603" t="s">
        <v>299</v>
      </c>
      <c r="M36" s="50" t="s">
        <v>679</v>
      </c>
    </row>
    <row r="37" spans="1:13" ht="38.25">
      <c r="A37" s="39"/>
      <c r="B37" s="625" t="s">
        <v>31</v>
      </c>
      <c r="C37" s="592"/>
      <c r="D37" s="382"/>
      <c r="E37" s="394"/>
      <c r="F37" s="393"/>
      <c r="G37" s="192"/>
      <c r="H37" s="590"/>
      <c r="I37" s="522"/>
      <c r="J37" s="81" t="s">
        <v>408</v>
      </c>
      <c r="K37" s="590" t="s">
        <v>356</v>
      </c>
      <c r="L37" s="656"/>
      <c r="M37" s="24" t="s">
        <v>701</v>
      </c>
    </row>
    <row r="38" spans="1:13" ht="39" thickBot="1">
      <c r="A38" s="43"/>
      <c r="B38" s="624" t="s">
        <v>260</v>
      </c>
      <c r="C38" s="596"/>
      <c r="D38" s="482"/>
      <c r="E38" s="483"/>
      <c r="F38" s="484"/>
      <c r="G38" s="645"/>
      <c r="H38" s="646"/>
      <c r="I38" s="670"/>
      <c r="J38" s="671" t="s">
        <v>408</v>
      </c>
      <c r="K38" s="646"/>
      <c r="L38" s="658" t="s">
        <v>107</v>
      </c>
      <c r="M38" s="24" t="s">
        <v>700</v>
      </c>
    </row>
    <row r="39" spans="1:13">
      <c r="A39" s="4"/>
      <c r="B39" s="4"/>
      <c r="D39" s="874">
        <f>SUM(D32:D38)</f>
        <v>0</v>
      </c>
      <c r="E39" s="875">
        <f t="shared" ref="E39:F39" si="0">SUM(E32:E38)</f>
        <v>3962.7000000000003</v>
      </c>
      <c r="F39" s="876">
        <f t="shared" si="0"/>
        <v>21926.6</v>
      </c>
      <c r="G39" s="4"/>
      <c r="H39" s="4"/>
      <c r="I39" s="4"/>
      <c r="J39" s="4"/>
      <c r="K39" s="4"/>
      <c r="L39" s="4"/>
      <c r="M39" s="4"/>
    </row>
    <row r="40" spans="1:13" ht="15.75" thickBot="1">
      <c r="A40" s="1"/>
      <c r="D40" s="203" t="s">
        <v>360</v>
      </c>
      <c r="E40" s="204" t="s">
        <v>361</v>
      </c>
      <c r="F40" s="205" t="s">
        <v>362</v>
      </c>
    </row>
    <row r="41" spans="1:13" s="1059" customFormat="1" ht="12.75">
      <c r="A41" s="1067" t="s">
        <v>546</v>
      </c>
      <c r="B41" s="1067"/>
      <c r="C41" s="1068"/>
      <c r="D41" s="1060"/>
      <c r="E41" s="1060"/>
      <c r="F41" s="1060"/>
      <c r="G41" s="1062"/>
      <c r="H41" s="1062"/>
      <c r="I41" s="1062"/>
      <c r="J41" s="1062"/>
      <c r="K41" s="1062"/>
      <c r="L41" s="1062"/>
      <c r="M41" s="1062"/>
    </row>
    <row r="42" spans="1:13" s="1059" customFormat="1" ht="12.75">
      <c r="A42" s="1067" t="s">
        <v>533</v>
      </c>
      <c r="B42" s="1067"/>
      <c r="C42" s="1068"/>
      <c r="D42" s="1060"/>
      <c r="E42" s="1060"/>
      <c r="F42" s="1060"/>
      <c r="G42" s="1062"/>
      <c r="H42" s="1062"/>
      <c r="I42" s="1062"/>
      <c r="J42" s="1062"/>
      <c r="K42" s="1062"/>
      <c r="L42" s="1062"/>
      <c r="M42" s="1062"/>
    </row>
    <row r="43" spans="1:13" s="1059" customFormat="1" ht="12.75">
      <c r="A43" s="1067" t="s">
        <v>668</v>
      </c>
      <c r="B43" s="1067"/>
      <c r="C43" s="1068"/>
      <c r="D43" s="1060"/>
      <c r="E43" s="1060"/>
      <c r="F43" s="1060"/>
      <c r="G43" s="1062"/>
      <c r="H43" s="1062"/>
      <c r="I43" s="1062"/>
      <c r="J43" s="1062"/>
      <c r="K43" s="1062"/>
      <c r="L43" s="1062"/>
      <c r="M43" s="1062"/>
    </row>
    <row r="44" spans="1:13" s="1059" customFormat="1" ht="12.75">
      <c r="A44" s="1067" t="s">
        <v>645</v>
      </c>
      <c r="B44" s="1067"/>
      <c r="C44" s="1067"/>
      <c r="D44" s="1060"/>
      <c r="E44" s="1060"/>
      <c r="F44" s="1060"/>
      <c r="G44" s="1062"/>
      <c r="H44" s="1062"/>
      <c r="I44" s="1062"/>
      <c r="J44" s="1062"/>
      <c r="K44" s="1062"/>
      <c r="L44" s="1062"/>
      <c r="M44" s="1062"/>
    </row>
    <row r="45" spans="1:13" s="1059" customFormat="1" ht="12.75">
      <c r="A45" s="1062" t="s">
        <v>709</v>
      </c>
      <c r="B45" s="1062"/>
      <c r="C45" s="1060"/>
      <c r="D45" s="1060"/>
      <c r="E45" s="1060"/>
      <c r="F45" s="1060"/>
      <c r="G45" s="1062"/>
      <c r="H45" s="1062"/>
      <c r="I45" s="1062"/>
      <c r="J45" s="1062"/>
      <c r="K45" s="1062"/>
      <c r="L45" s="1062"/>
      <c r="M45" s="1062"/>
    </row>
    <row r="46" spans="1:13" s="1059" customFormat="1" ht="12.75">
      <c r="A46" s="1062" t="s">
        <v>673</v>
      </c>
      <c r="B46" s="1062"/>
      <c r="C46" s="1060"/>
      <c r="D46" s="1060"/>
      <c r="E46" s="1060"/>
      <c r="F46" s="1060"/>
      <c r="G46" s="1062"/>
      <c r="H46" s="1062"/>
      <c r="I46" s="1062"/>
      <c r="J46" s="1062"/>
      <c r="K46" s="1062"/>
      <c r="L46" s="1062"/>
      <c r="M46" s="1062"/>
    </row>
  </sheetData>
  <mergeCells count="8">
    <mergeCell ref="C30:H30"/>
    <mergeCell ref="I30:K30"/>
    <mergeCell ref="A1:B1"/>
    <mergeCell ref="A10:B10"/>
    <mergeCell ref="C10:K10"/>
    <mergeCell ref="L10:M10"/>
    <mergeCell ref="C11:H11"/>
    <mergeCell ref="I11:K11"/>
  </mergeCells>
  <pageMargins left="0.7" right="0.7" top="0.75" bottom="0.75" header="0.3" footer="0.3"/>
  <pageSetup paperSize="9" scale="32" orientation="portrait" horizontalDpi="4294967294"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C6051-2212-44B1-9B2F-9AF13BD2211E}">
  <dimension ref="A1:F8"/>
  <sheetViews>
    <sheetView zoomScale="75" zoomScaleNormal="75" workbookViewId="0">
      <selection activeCell="I19" sqref="I19"/>
    </sheetView>
  </sheetViews>
  <sheetFormatPr defaultColWidth="8.7109375" defaultRowHeight="15"/>
  <cols>
    <col min="1" max="1" width="45.7109375" bestFit="1" customWidth="1"/>
    <col min="2" max="2" width="11.28515625" bestFit="1" customWidth="1"/>
    <col min="3" max="3" width="9.7109375" bestFit="1" customWidth="1"/>
    <col min="4" max="4" width="11.42578125" bestFit="1" customWidth="1"/>
  </cols>
  <sheetData>
    <row r="1" spans="1:6" ht="21">
      <c r="A1" s="213" t="s">
        <v>493</v>
      </c>
      <c r="B1" s="214"/>
      <c r="C1" s="214"/>
      <c r="D1" s="214"/>
      <c r="F1" s="973" t="s">
        <v>497</v>
      </c>
    </row>
    <row r="2" spans="1:6" ht="21">
      <c r="A2" s="214"/>
      <c r="B2" s="472" t="s">
        <v>367</v>
      </c>
      <c r="C2" s="472" t="s">
        <v>368</v>
      </c>
      <c r="D2" s="472" t="s">
        <v>369</v>
      </c>
    </row>
    <row r="3" spans="1:6" ht="21">
      <c r="A3" s="222" t="s">
        <v>410</v>
      </c>
      <c r="B3" s="473">
        <f>'D6 Health Wellbeing Worksheet'!D28</f>
        <v>34868.78</v>
      </c>
      <c r="C3" s="473">
        <f>'D6 Health Wellbeing Worksheet'!E28</f>
        <v>0</v>
      </c>
      <c r="D3" s="473">
        <f>'D6 Health Wellbeing Worksheet'!F28</f>
        <v>0</v>
      </c>
    </row>
    <row r="4" spans="1:6" ht="21">
      <c r="A4" s="222" t="s">
        <v>411</v>
      </c>
      <c r="B4" s="473">
        <f>'D6 Health Wellbeing Worksheet'!D39</f>
        <v>0</v>
      </c>
      <c r="C4" s="473">
        <f>'D6 Health Wellbeing Worksheet'!E39</f>
        <v>3962.7000000000003</v>
      </c>
      <c r="D4" s="473">
        <f>'D6 Health Wellbeing Worksheet'!F39</f>
        <v>21926.6</v>
      </c>
    </row>
    <row r="5" spans="1:6" ht="21">
      <c r="A5" s="214" t="s">
        <v>371</v>
      </c>
      <c r="B5" s="214"/>
      <c r="C5" s="214"/>
      <c r="D5" s="214"/>
    </row>
    <row r="6" spans="1:6" ht="21">
      <c r="A6" s="214" t="s">
        <v>549</v>
      </c>
      <c r="B6" s="214"/>
      <c r="C6" s="214"/>
      <c r="D6" s="214"/>
    </row>
    <row r="7" spans="1:6" ht="21">
      <c r="A7" s="214" t="s">
        <v>550</v>
      </c>
      <c r="B7" s="214"/>
      <c r="C7" s="214"/>
      <c r="D7" s="214"/>
    </row>
    <row r="8" spans="1:6" ht="21">
      <c r="A8" s="214" t="s">
        <v>551</v>
      </c>
      <c r="B8" s="214"/>
      <c r="C8" s="214"/>
      <c r="D8" s="214"/>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41EF-7564-408C-83AF-B072989E69AC}">
  <sheetPr>
    <pageSetUpPr fitToPage="1"/>
  </sheetPr>
  <dimension ref="A1:L62"/>
  <sheetViews>
    <sheetView zoomScale="75" zoomScaleNormal="75" workbookViewId="0">
      <selection activeCell="L1" sqref="L1"/>
    </sheetView>
  </sheetViews>
  <sheetFormatPr defaultColWidth="8.7109375" defaultRowHeight="15"/>
  <cols>
    <col min="1" max="2" width="20.7109375" style="2" customWidth="1"/>
    <col min="3" max="3" width="9.7109375" style="5" customWidth="1"/>
    <col min="4" max="4" width="7.42578125" style="5" bestFit="1" customWidth="1"/>
    <col min="5" max="6" width="6.7109375" style="5" customWidth="1"/>
    <col min="7" max="8" width="28.7109375" style="2" customWidth="1"/>
    <col min="9" max="9" width="9.7109375" style="2" customWidth="1"/>
    <col min="10" max="12" width="28.7109375" style="2" customWidth="1"/>
  </cols>
  <sheetData>
    <row r="1" spans="1:12" ht="21">
      <c r="A1" s="1152" t="s">
        <v>224</v>
      </c>
      <c r="B1" s="1152"/>
      <c r="C1" s="95"/>
      <c r="D1" s="95"/>
      <c r="E1" s="95"/>
      <c r="F1" s="95"/>
      <c r="G1" s="973" t="s">
        <v>497</v>
      </c>
      <c r="H1" s="172"/>
      <c r="I1" s="172"/>
      <c r="J1" s="120"/>
      <c r="K1" s="120"/>
      <c r="L1" s="182"/>
    </row>
    <row r="2" spans="1:12" ht="15" customHeight="1">
      <c r="A2" s="291" t="s">
        <v>333</v>
      </c>
      <c r="B2" t="s">
        <v>282</v>
      </c>
      <c r="C2" s="94"/>
      <c r="D2" s="6"/>
      <c r="E2" s="6"/>
      <c r="F2" s="6"/>
      <c r="G2" s="6"/>
      <c r="H2" s="6"/>
      <c r="I2" s="6"/>
      <c r="J2" s="5"/>
      <c r="K2" s="6"/>
      <c r="L2"/>
    </row>
    <row r="3" spans="1:12" ht="15" customHeight="1">
      <c r="A3" s="501" t="s">
        <v>334</v>
      </c>
      <c r="B3" t="s">
        <v>308</v>
      </c>
      <c r="C3" s="94"/>
      <c r="D3" s="6"/>
      <c r="E3" s="6"/>
      <c r="F3" s="6"/>
      <c r="G3" s="6"/>
      <c r="H3" s="6"/>
      <c r="I3" s="6"/>
      <c r="J3" s="6"/>
      <c r="K3" s="6"/>
      <c r="L3"/>
    </row>
    <row r="4" spans="1:12" ht="15" customHeight="1">
      <c r="A4" s="292" t="s">
        <v>520</v>
      </c>
      <c r="B4" t="s">
        <v>521</v>
      </c>
      <c r="C4" s="94"/>
      <c r="D4" s="6"/>
      <c r="E4" s="6"/>
      <c r="F4" s="6"/>
      <c r="G4" s="6"/>
      <c r="H4" s="6"/>
      <c r="I4" s="6"/>
      <c r="J4" s="6"/>
      <c r="K4" s="6"/>
      <c r="L4"/>
    </row>
    <row r="5" spans="1:12" ht="15" customHeight="1">
      <c r="A5" s="622" t="s">
        <v>487</v>
      </c>
      <c r="B5"/>
      <c r="C5" s="94"/>
      <c r="D5" s="6"/>
      <c r="E5" s="6"/>
      <c r="F5" s="6"/>
      <c r="G5" s="6"/>
      <c r="H5" s="6"/>
      <c r="I5" s="6"/>
      <c r="J5" s="6"/>
      <c r="K5" s="6"/>
      <c r="L5"/>
    </row>
    <row r="6" spans="1:12">
      <c r="A6" s="293"/>
      <c r="B6" s="35" t="s">
        <v>136</v>
      </c>
      <c r="C6" s="6"/>
      <c r="D6" s="6"/>
      <c r="E6" s="6"/>
      <c r="F6" s="6"/>
      <c r="G6" s="6"/>
      <c r="H6" s="35"/>
      <c r="I6" s="35"/>
      <c r="J6" s="6"/>
      <c r="K6" s="6"/>
      <c r="L6"/>
    </row>
    <row r="7" spans="1:12">
      <c r="A7" s="294"/>
      <c r="B7" s="35" t="s">
        <v>329</v>
      </c>
      <c r="C7" s="6"/>
      <c r="D7" s="6"/>
      <c r="E7" s="6"/>
      <c r="F7" s="6"/>
      <c r="G7" s="6"/>
      <c r="H7" s="35"/>
      <c r="I7" s="35"/>
      <c r="J7" s="6"/>
      <c r="K7" s="6"/>
      <c r="L7"/>
    </row>
    <row r="8" spans="1:12">
      <c r="A8" s="295"/>
      <c r="B8" s="35" t="s">
        <v>380</v>
      </c>
      <c r="C8" s="6"/>
      <c r="D8" s="6"/>
      <c r="E8" s="6"/>
      <c r="F8" s="6"/>
      <c r="G8" s="6"/>
      <c r="H8" s="35"/>
      <c r="I8" s="35"/>
      <c r="J8" s="6"/>
      <c r="K8" s="6"/>
      <c r="L8"/>
    </row>
    <row r="9" spans="1:12">
      <c r="A9" s="296" t="s">
        <v>391</v>
      </c>
      <c r="B9" s="35" t="s">
        <v>392</v>
      </c>
      <c r="C9" s="6"/>
      <c r="D9" s="6"/>
      <c r="E9" s="6"/>
      <c r="F9" s="6"/>
      <c r="G9" s="6"/>
      <c r="H9" s="35"/>
      <c r="I9" s="35"/>
      <c r="J9" s="6"/>
      <c r="K9" s="6"/>
      <c r="L9"/>
    </row>
    <row r="10" spans="1:12" ht="77.650000000000006" customHeight="1" thickBot="1">
      <c r="A10" s="1137"/>
      <c r="B10" s="1138"/>
      <c r="C10" s="1139" t="s">
        <v>1172</v>
      </c>
      <c r="D10" s="1140"/>
      <c r="E10" s="1140"/>
      <c r="F10" s="1140"/>
      <c r="G10" s="1140"/>
      <c r="H10" s="1140"/>
      <c r="I10" s="1140"/>
      <c r="J10" s="1140"/>
      <c r="K10" s="1141"/>
      <c r="L10" s="569" t="s">
        <v>134</v>
      </c>
    </row>
    <row r="11" spans="1:12" ht="14.65" customHeight="1">
      <c r="A11" s="672" t="s">
        <v>484</v>
      </c>
      <c r="B11" s="673"/>
      <c r="C11" s="1142" t="s">
        <v>486</v>
      </c>
      <c r="D11" s="1143"/>
      <c r="E11" s="1143"/>
      <c r="F11" s="1143"/>
      <c r="G11" s="1143"/>
      <c r="H11" s="1144"/>
      <c r="I11" s="1142" t="s">
        <v>479</v>
      </c>
      <c r="J11" s="1145"/>
      <c r="K11" s="1146"/>
      <c r="L11" s="564"/>
    </row>
    <row r="12" spans="1:12" ht="25.5">
      <c r="A12" s="138" t="s">
        <v>131</v>
      </c>
      <c r="B12" s="575" t="s">
        <v>117</v>
      </c>
      <c r="C12" s="586" t="s">
        <v>480</v>
      </c>
      <c r="D12" s="570" t="s">
        <v>360</v>
      </c>
      <c r="E12" s="571" t="s">
        <v>361</v>
      </c>
      <c r="F12" s="572" t="s">
        <v>362</v>
      </c>
      <c r="G12" s="573" t="s">
        <v>702</v>
      </c>
      <c r="H12" s="587" t="s">
        <v>422</v>
      </c>
      <c r="I12" s="608" t="s">
        <v>480</v>
      </c>
      <c r="J12" s="104" t="s">
        <v>523</v>
      </c>
      <c r="K12" s="609" t="s">
        <v>422</v>
      </c>
      <c r="L12" s="602" t="s">
        <v>565</v>
      </c>
    </row>
    <row r="13" spans="1:12" ht="37.5" customHeight="1">
      <c r="A13" s="29" t="s">
        <v>195</v>
      </c>
      <c r="B13" s="623" t="s">
        <v>193</v>
      </c>
      <c r="C13" s="924"/>
      <c r="D13" s="433"/>
      <c r="E13" s="434"/>
      <c r="F13" s="435"/>
      <c r="G13" s="208" t="s">
        <v>1131</v>
      </c>
      <c r="H13" s="635"/>
      <c r="I13" s="521"/>
      <c r="J13" s="79" t="s">
        <v>408</v>
      </c>
      <c r="K13" s="635" t="s">
        <v>711</v>
      </c>
      <c r="L13" s="653"/>
    </row>
    <row r="14" spans="1:12" ht="306">
      <c r="A14" s="41"/>
      <c r="B14" s="625" t="s">
        <v>302</v>
      </c>
      <c r="C14" s="777"/>
      <c r="D14" s="442">
        <f>2724*1.7</f>
        <v>4630.8</v>
      </c>
      <c r="E14" s="443"/>
      <c r="F14" s="444"/>
      <c r="G14" s="192" t="s">
        <v>1019</v>
      </c>
      <c r="H14" s="590" t="s">
        <v>1090</v>
      </c>
      <c r="I14" s="522"/>
      <c r="J14" s="81" t="s">
        <v>408</v>
      </c>
      <c r="K14" s="590" t="s">
        <v>356</v>
      </c>
      <c r="L14" s="603" t="s">
        <v>712</v>
      </c>
    </row>
    <row r="15" spans="1:12" ht="38.25">
      <c r="A15" s="41"/>
      <c r="B15" s="625" t="s">
        <v>303</v>
      </c>
      <c r="C15" s="777"/>
      <c r="D15" s="442"/>
      <c r="E15" s="443"/>
      <c r="F15" s="444"/>
      <c r="G15" s="192" t="s">
        <v>184</v>
      </c>
      <c r="H15" s="590"/>
      <c r="I15" s="522"/>
      <c r="J15" s="81" t="s">
        <v>408</v>
      </c>
      <c r="K15" s="590"/>
      <c r="L15" s="656"/>
    </row>
    <row r="16" spans="1:12" ht="51">
      <c r="A16" s="54"/>
      <c r="B16" s="624" t="s">
        <v>38</v>
      </c>
      <c r="C16" s="591"/>
      <c r="D16" s="385">
        <f>7276*1.7</f>
        <v>12369.199999999999</v>
      </c>
      <c r="E16" s="386"/>
      <c r="F16" s="387"/>
      <c r="G16" s="192" t="s">
        <v>897</v>
      </c>
      <c r="H16" s="634" t="s">
        <v>1091</v>
      </c>
      <c r="I16" s="661"/>
      <c r="J16" s="77" t="s">
        <v>418</v>
      </c>
      <c r="K16" s="634" t="s">
        <v>356</v>
      </c>
      <c r="L16" s="658" t="s">
        <v>118</v>
      </c>
    </row>
    <row r="17" spans="1:12" ht="51">
      <c r="A17" s="29" t="s">
        <v>39</v>
      </c>
      <c r="B17" s="623" t="s">
        <v>40</v>
      </c>
      <c r="C17" s="588"/>
      <c r="D17" s="379"/>
      <c r="E17" s="395"/>
      <c r="F17" s="390"/>
      <c r="G17" s="208" t="s">
        <v>897</v>
      </c>
      <c r="H17" s="635"/>
      <c r="I17" s="521"/>
      <c r="J17" s="79" t="s">
        <v>414</v>
      </c>
      <c r="K17" s="635" t="s">
        <v>356</v>
      </c>
      <c r="L17" s="655" t="s">
        <v>113</v>
      </c>
    </row>
    <row r="18" spans="1:12" ht="51">
      <c r="A18" s="40"/>
      <c r="B18" s="625" t="s">
        <v>41</v>
      </c>
      <c r="C18" s="592"/>
      <c r="D18" s="382"/>
      <c r="E18" s="394"/>
      <c r="F18" s="393"/>
      <c r="G18" s="192" t="s">
        <v>897</v>
      </c>
      <c r="H18" s="590"/>
      <c r="I18" s="522"/>
      <c r="J18" s="81" t="s">
        <v>408</v>
      </c>
      <c r="K18" s="590"/>
      <c r="L18" s="656"/>
    </row>
    <row r="19" spans="1:12" ht="25.5">
      <c r="A19" s="41"/>
      <c r="B19" s="625" t="s">
        <v>42</v>
      </c>
      <c r="C19" s="592"/>
      <c r="D19" s="382"/>
      <c r="E19" s="394"/>
      <c r="F19" s="393"/>
      <c r="G19" s="192" t="s">
        <v>897</v>
      </c>
      <c r="H19" s="590" t="s">
        <v>598</v>
      </c>
      <c r="I19" s="522"/>
      <c r="J19" s="478" t="s">
        <v>330</v>
      </c>
      <c r="K19" s="666" t="s">
        <v>330</v>
      </c>
      <c r="L19" s="656"/>
    </row>
    <row r="20" spans="1:12" ht="38.25">
      <c r="A20" s="49"/>
      <c r="B20" s="629" t="s">
        <v>304</v>
      </c>
      <c r="C20" s="591"/>
      <c r="D20" s="385"/>
      <c r="E20" s="386"/>
      <c r="F20" s="387"/>
      <c r="G20" s="192" t="s">
        <v>897</v>
      </c>
      <c r="H20" s="634"/>
      <c r="I20" s="289"/>
      <c r="J20" s="478" t="s">
        <v>330</v>
      </c>
      <c r="K20" s="666" t="s">
        <v>330</v>
      </c>
      <c r="L20" s="658" t="s">
        <v>89</v>
      </c>
    </row>
    <row r="21" spans="1:12" ht="153">
      <c r="A21" s="29" t="s">
        <v>43</v>
      </c>
      <c r="B21" s="725" t="s">
        <v>703</v>
      </c>
      <c r="C21" s="588"/>
      <c r="D21" s="379"/>
      <c r="E21" s="395"/>
      <c r="F21" s="390"/>
      <c r="G21" s="208" t="s">
        <v>1132</v>
      </c>
      <c r="H21" s="635" t="s">
        <v>1188</v>
      </c>
      <c r="I21" s="521"/>
      <c r="J21" s="79" t="s">
        <v>408</v>
      </c>
      <c r="K21" s="635"/>
      <c r="L21" s="655" t="s">
        <v>942</v>
      </c>
    </row>
    <row r="22" spans="1:12" ht="153">
      <c r="A22" s="40"/>
      <c r="B22" s="628" t="s">
        <v>265</v>
      </c>
      <c r="C22" s="592"/>
      <c r="D22" s="382"/>
      <c r="E22" s="394"/>
      <c r="F22" s="393"/>
      <c r="G22" s="192" t="s">
        <v>895</v>
      </c>
      <c r="H22" s="590" t="s">
        <v>710</v>
      </c>
      <c r="I22" s="522"/>
      <c r="J22" s="81" t="s">
        <v>408</v>
      </c>
      <c r="K22" s="590"/>
      <c r="L22" s="603" t="s">
        <v>114</v>
      </c>
    </row>
    <row r="23" spans="1:12" ht="191.25">
      <c r="A23" s="40"/>
      <c r="B23" s="628" t="s">
        <v>266</v>
      </c>
      <c r="C23" s="592"/>
      <c r="D23" s="382"/>
      <c r="E23" s="394"/>
      <c r="F23" s="393"/>
      <c r="G23" s="192" t="s">
        <v>1133</v>
      </c>
      <c r="H23" s="590" t="s">
        <v>733</v>
      </c>
      <c r="I23" s="522"/>
      <c r="J23" s="81" t="s">
        <v>414</v>
      </c>
      <c r="K23" s="590" t="s">
        <v>356</v>
      </c>
      <c r="L23" s="603" t="s">
        <v>943</v>
      </c>
    </row>
    <row r="24" spans="1:12" ht="51">
      <c r="A24" s="40"/>
      <c r="B24" s="625" t="s">
        <v>705</v>
      </c>
      <c r="C24" s="591"/>
      <c r="D24" s="411"/>
      <c r="E24" s="412"/>
      <c r="F24" s="413"/>
      <c r="G24" s="192" t="s">
        <v>899</v>
      </c>
      <c r="H24" s="1047" t="s">
        <v>421</v>
      </c>
      <c r="I24" s="927"/>
      <c r="J24" s="478" t="s">
        <v>330</v>
      </c>
      <c r="K24" s="666" t="s">
        <v>330</v>
      </c>
      <c r="L24" s="656" t="s">
        <v>108</v>
      </c>
    </row>
    <row r="25" spans="1:12" ht="85.5" customHeight="1">
      <c r="A25" s="29" t="s">
        <v>116</v>
      </c>
      <c r="B25" s="725" t="s">
        <v>704</v>
      </c>
      <c r="C25" s="588"/>
      <c r="D25" s="379"/>
      <c r="E25" s="395"/>
      <c r="F25" s="390"/>
      <c r="G25" s="208" t="s">
        <v>1134</v>
      </c>
      <c r="H25" s="635"/>
      <c r="I25" s="521"/>
      <c r="J25" s="79" t="s">
        <v>408</v>
      </c>
      <c r="K25" s="635"/>
      <c r="L25" s="653"/>
    </row>
    <row r="26" spans="1:12" ht="26.25" customHeight="1">
      <c r="A26" s="42"/>
      <c r="B26" s="625" t="s">
        <v>194</v>
      </c>
      <c r="C26" s="777"/>
      <c r="D26" s="442"/>
      <c r="E26" s="443"/>
      <c r="F26" s="444"/>
      <c r="G26" s="192" t="s">
        <v>184</v>
      </c>
      <c r="H26" s="590" t="s">
        <v>1130</v>
      </c>
      <c r="I26" s="522"/>
      <c r="J26" s="478" t="s">
        <v>330</v>
      </c>
      <c r="K26" s="666" t="s">
        <v>330</v>
      </c>
      <c r="L26" s="656"/>
    </row>
    <row r="27" spans="1:12" ht="63.75">
      <c r="A27" s="41"/>
      <c r="B27" s="625" t="s">
        <v>44</v>
      </c>
      <c r="C27" s="777"/>
      <c r="D27" s="442"/>
      <c r="E27" s="443"/>
      <c r="F27" s="444"/>
      <c r="G27" s="192" t="s">
        <v>900</v>
      </c>
      <c r="H27" s="590" t="s">
        <v>1129</v>
      </c>
      <c r="I27" s="522"/>
      <c r="J27" s="478" t="s">
        <v>330</v>
      </c>
      <c r="K27" s="666" t="s">
        <v>330</v>
      </c>
      <c r="L27" s="603" t="s">
        <v>115</v>
      </c>
    </row>
    <row r="28" spans="1:12" ht="114.75">
      <c r="A28" s="40"/>
      <c r="B28" s="625" t="s">
        <v>45</v>
      </c>
      <c r="C28" s="777"/>
      <c r="D28" s="442"/>
      <c r="E28" s="443"/>
      <c r="F28" s="444"/>
      <c r="G28" s="192" t="s">
        <v>706</v>
      </c>
      <c r="H28" s="590"/>
      <c r="I28" s="522"/>
      <c r="J28" s="81" t="s">
        <v>408</v>
      </c>
      <c r="K28" s="590"/>
      <c r="L28" s="603" t="s">
        <v>104</v>
      </c>
    </row>
    <row r="29" spans="1:12" ht="114.75">
      <c r="A29" s="40"/>
      <c r="B29" s="625" t="s">
        <v>267</v>
      </c>
      <c r="C29" s="777"/>
      <c r="D29" s="442"/>
      <c r="E29" s="443"/>
      <c r="F29" s="444"/>
      <c r="G29" s="192" t="s">
        <v>1019</v>
      </c>
      <c r="H29" s="590"/>
      <c r="I29" s="522"/>
      <c r="J29" s="478" t="s">
        <v>330</v>
      </c>
      <c r="K29" s="666" t="s">
        <v>330</v>
      </c>
      <c r="L29" s="656"/>
    </row>
    <row r="30" spans="1:12" ht="38.25">
      <c r="A30" s="40"/>
      <c r="B30" s="846" t="s">
        <v>305</v>
      </c>
      <c r="C30" s="777"/>
      <c r="D30" s="445"/>
      <c r="E30" s="446"/>
      <c r="F30" s="447"/>
      <c r="G30" s="225" t="s">
        <v>903</v>
      </c>
      <c r="H30" s="717"/>
      <c r="I30" s="289"/>
      <c r="J30" s="471" t="s">
        <v>408</v>
      </c>
      <c r="K30" s="717"/>
      <c r="L30" s="925"/>
    </row>
    <row r="31" spans="1:12" ht="75.75" customHeight="1">
      <c r="A31" s="41"/>
      <c r="B31" s="628" t="s">
        <v>306</v>
      </c>
      <c r="C31" s="777"/>
      <c r="D31" s="442"/>
      <c r="E31" s="443"/>
      <c r="F31" s="444"/>
      <c r="G31" s="192" t="s">
        <v>1135</v>
      </c>
      <c r="H31" s="590" t="s">
        <v>1089</v>
      </c>
      <c r="I31" s="522"/>
      <c r="J31" s="81" t="s">
        <v>408</v>
      </c>
      <c r="K31" s="590"/>
      <c r="L31" s="603" t="s">
        <v>713</v>
      </c>
    </row>
    <row r="32" spans="1:12" ht="25.5">
      <c r="A32" s="39"/>
      <c r="B32" s="625" t="s">
        <v>46</v>
      </c>
      <c r="C32" s="777"/>
      <c r="D32" s="442"/>
      <c r="E32" s="443"/>
      <c r="F32" s="444"/>
      <c r="G32" s="192" t="s">
        <v>423</v>
      </c>
      <c r="H32" s="590"/>
      <c r="I32" s="522"/>
      <c r="J32" s="478" t="s">
        <v>330</v>
      </c>
      <c r="K32" s="666" t="s">
        <v>330</v>
      </c>
      <c r="L32" s="656"/>
    </row>
    <row r="33" spans="1:12" ht="26.25" thickBot="1">
      <c r="A33" s="40"/>
      <c r="B33" s="846" t="s">
        <v>196</v>
      </c>
      <c r="C33" s="807"/>
      <c r="D33" s="597"/>
      <c r="E33" s="598"/>
      <c r="F33" s="599"/>
      <c r="G33" s="645" t="s">
        <v>899</v>
      </c>
      <c r="H33" s="646"/>
      <c r="I33" s="670"/>
      <c r="J33" s="928" t="s">
        <v>330</v>
      </c>
      <c r="K33" s="929" t="s">
        <v>330</v>
      </c>
      <c r="L33" s="926"/>
    </row>
    <row r="34" spans="1:12">
      <c r="A34" s="431"/>
      <c r="B34" s="116"/>
      <c r="D34" s="874">
        <f>SUM(D13:D33)</f>
        <v>17000</v>
      </c>
      <c r="E34" s="875">
        <f t="shared" ref="E34:F34" si="0">SUM(E13:E33)</f>
        <v>0</v>
      </c>
      <c r="F34" s="876">
        <f t="shared" si="0"/>
        <v>0</v>
      </c>
      <c r="G34" s="112"/>
      <c r="H34" s="112"/>
      <c r="I34" s="112"/>
      <c r="J34" s="112"/>
      <c r="K34" s="112"/>
      <c r="L34" s="117"/>
    </row>
    <row r="35" spans="1:12" ht="15.75" thickBot="1">
      <c r="A35" s="432"/>
      <c r="B35" s="112"/>
      <c r="D35" s="203" t="s">
        <v>360</v>
      </c>
      <c r="E35" s="204" t="s">
        <v>361</v>
      </c>
      <c r="F35" s="205" t="s">
        <v>362</v>
      </c>
      <c r="G35" s="112"/>
      <c r="H35" s="112"/>
      <c r="I35" s="112"/>
      <c r="J35" s="112"/>
      <c r="K35" s="112"/>
      <c r="L35" s="113"/>
    </row>
    <row r="36" spans="1:12" ht="14.65" customHeight="1">
      <c r="A36" s="672" t="s">
        <v>1117</v>
      </c>
      <c r="B36" s="673"/>
      <c r="C36" s="1142" t="s">
        <v>486</v>
      </c>
      <c r="D36" s="1143"/>
      <c r="E36" s="1143"/>
      <c r="F36" s="1143"/>
      <c r="G36" s="1143"/>
      <c r="H36" s="1144"/>
      <c r="I36" s="1142" t="s">
        <v>479</v>
      </c>
      <c r="J36" s="1145"/>
      <c r="K36" s="1146"/>
      <c r="L36" s="564"/>
    </row>
    <row r="37" spans="1:12" ht="25.5">
      <c r="A37" s="138" t="s">
        <v>131</v>
      </c>
      <c r="B37" s="575" t="s">
        <v>117</v>
      </c>
      <c r="C37" s="586" t="s">
        <v>480</v>
      </c>
      <c r="D37" s="570" t="s">
        <v>360</v>
      </c>
      <c r="E37" s="571" t="s">
        <v>361</v>
      </c>
      <c r="F37" s="572" t="s">
        <v>362</v>
      </c>
      <c r="G37" s="573" t="s">
        <v>599</v>
      </c>
      <c r="H37" s="587" t="s">
        <v>422</v>
      </c>
      <c r="I37" s="608" t="s">
        <v>480</v>
      </c>
      <c r="J37" s="104" t="s">
        <v>523</v>
      </c>
      <c r="K37" s="609" t="s">
        <v>422</v>
      </c>
      <c r="L37" s="602" t="s">
        <v>565</v>
      </c>
    </row>
    <row r="38" spans="1:12" ht="89.25">
      <c r="A38" s="1150" t="s">
        <v>197</v>
      </c>
      <c r="B38" s="623" t="s">
        <v>155</v>
      </c>
      <c r="C38" s="313"/>
      <c r="D38" s="313"/>
      <c r="E38" s="110"/>
      <c r="F38" s="314"/>
      <c r="G38" s="978" t="s">
        <v>330</v>
      </c>
      <c r="H38" s="635"/>
      <c r="I38" s="521"/>
      <c r="J38" s="79" t="s">
        <v>716</v>
      </c>
      <c r="K38" s="635"/>
      <c r="L38" s="655" t="s">
        <v>718</v>
      </c>
    </row>
    <row r="39" spans="1:12" ht="25.5">
      <c r="A39" s="1150"/>
      <c r="B39" s="625" t="s">
        <v>47</v>
      </c>
      <c r="C39" s="321"/>
      <c r="D39" s="321"/>
      <c r="E39" s="137"/>
      <c r="F39" s="322"/>
      <c r="G39" s="192"/>
      <c r="H39" s="590"/>
      <c r="I39" s="522"/>
      <c r="J39" s="81" t="s">
        <v>408</v>
      </c>
      <c r="K39" s="590"/>
      <c r="L39" s="603" t="s">
        <v>719</v>
      </c>
    </row>
    <row r="40" spans="1:12" ht="25.5">
      <c r="A40" s="1150"/>
      <c r="B40" s="625" t="s">
        <v>48</v>
      </c>
      <c r="C40" s="321"/>
      <c r="D40" s="321"/>
      <c r="E40" s="137"/>
      <c r="F40" s="322"/>
      <c r="G40" s="192"/>
      <c r="H40" s="590"/>
      <c r="I40" s="522"/>
      <c r="J40" s="81" t="s">
        <v>408</v>
      </c>
      <c r="K40" s="590"/>
      <c r="L40" s="603" t="s">
        <v>720</v>
      </c>
    </row>
    <row r="41" spans="1:12" ht="25.5">
      <c r="A41" s="1150"/>
      <c r="B41" s="624" t="s">
        <v>49</v>
      </c>
      <c r="C41" s="311"/>
      <c r="D41" s="311"/>
      <c r="E41" s="109"/>
      <c r="F41" s="312"/>
      <c r="G41" s="209" t="s">
        <v>899</v>
      </c>
      <c r="H41" s="634"/>
      <c r="I41" s="661"/>
      <c r="J41" s="77" t="s">
        <v>408</v>
      </c>
      <c r="K41" s="634"/>
      <c r="L41" s="654"/>
    </row>
    <row r="42" spans="1:12" ht="89.25">
      <c r="A42" s="66" t="s">
        <v>62</v>
      </c>
      <c r="B42" s="677" t="s">
        <v>63</v>
      </c>
      <c r="C42" s="313"/>
      <c r="D42" s="317"/>
      <c r="E42" s="115"/>
      <c r="F42" s="318"/>
      <c r="G42" s="226" t="s">
        <v>208</v>
      </c>
      <c r="H42" s="946"/>
      <c r="I42" s="934"/>
      <c r="J42" s="81" t="s">
        <v>408</v>
      </c>
      <c r="K42" s="706"/>
      <c r="L42" s="968" t="s">
        <v>721</v>
      </c>
    </row>
    <row r="43" spans="1:12" ht="89.25">
      <c r="A43" s="67"/>
      <c r="B43" s="631" t="s">
        <v>307</v>
      </c>
      <c r="C43" s="321"/>
      <c r="D43" s="319"/>
      <c r="E43" s="189"/>
      <c r="F43" s="320"/>
      <c r="G43" s="566" t="s">
        <v>1136</v>
      </c>
      <c r="H43" s="854"/>
      <c r="I43" s="935"/>
      <c r="J43" s="92" t="s">
        <v>207</v>
      </c>
      <c r="K43" s="593"/>
      <c r="L43" s="969" t="s">
        <v>722</v>
      </c>
    </row>
    <row r="44" spans="1:12" ht="102">
      <c r="A44" s="67"/>
      <c r="B44" s="721" t="s">
        <v>64</v>
      </c>
      <c r="C44" s="321"/>
      <c r="D44" s="319"/>
      <c r="E44" s="189"/>
      <c r="F44" s="320"/>
      <c r="G44" s="566" t="s">
        <v>208</v>
      </c>
      <c r="H44" s="854"/>
      <c r="I44" s="935"/>
      <c r="J44" s="92" t="s">
        <v>419</v>
      </c>
      <c r="K44" s="593"/>
      <c r="L44" s="969" t="s">
        <v>723</v>
      </c>
    </row>
    <row r="45" spans="1:12" ht="114.75">
      <c r="A45" s="67"/>
      <c r="B45" s="945" t="s">
        <v>309</v>
      </c>
      <c r="C45" s="321"/>
      <c r="D45" s="319"/>
      <c r="E45" s="189"/>
      <c r="F45" s="320"/>
      <c r="G45" s="566" t="s">
        <v>208</v>
      </c>
      <c r="H45" s="590" t="s">
        <v>1088</v>
      </c>
      <c r="I45" s="522"/>
      <c r="J45" s="92" t="s">
        <v>419</v>
      </c>
      <c r="K45" s="936"/>
      <c r="L45" s="970" t="s">
        <v>724</v>
      </c>
    </row>
    <row r="46" spans="1:12" ht="63.75">
      <c r="A46" s="1155"/>
      <c r="B46" s="631" t="s">
        <v>269</v>
      </c>
      <c r="C46" s="321"/>
      <c r="D46" s="427"/>
      <c r="E46" s="190"/>
      <c r="F46" s="428"/>
      <c r="G46" s="1156" t="s">
        <v>208</v>
      </c>
      <c r="H46" s="947"/>
      <c r="I46" s="937"/>
      <c r="J46" s="89" t="s">
        <v>408</v>
      </c>
      <c r="K46" s="826"/>
      <c r="L46" s="971" t="s">
        <v>725</v>
      </c>
    </row>
    <row r="47" spans="1:12" ht="63.75">
      <c r="A47" s="1155"/>
      <c r="B47" s="631" t="s">
        <v>714</v>
      </c>
      <c r="C47" s="321"/>
      <c r="D47" s="449"/>
      <c r="E47" s="191"/>
      <c r="F47" s="450"/>
      <c r="G47" s="1157"/>
      <c r="H47" s="948"/>
      <c r="I47" s="938"/>
      <c r="J47" s="89" t="s">
        <v>408</v>
      </c>
      <c r="K47" s="826"/>
      <c r="L47" s="905" t="s">
        <v>726</v>
      </c>
    </row>
    <row r="48" spans="1:12" ht="63.75">
      <c r="A48" s="68"/>
      <c r="B48" s="679" t="s">
        <v>65</v>
      </c>
      <c r="C48" s="311"/>
      <c r="D48" s="315"/>
      <c r="E48" s="108"/>
      <c r="F48" s="316"/>
      <c r="G48" s="310"/>
      <c r="H48" s="949"/>
      <c r="I48" s="939"/>
      <c r="J48" s="90"/>
      <c r="K48" s="669"/>
      <c r="L48" s="930" t="s">
        <v>727</v>
      </c>
    </row>
    <row r="49" spans="1:12" ht="38.25">
      <c r="A49" s="66" t="s">
        <v>70</v>
      </c>
      <c r="B49" s="680" t="s">
        <v>71</v>
      </c>
      <c r="C49" s="317"/>
      <c r="D49" s="317"/>
      <c r="E49" s="115"/>
      <c r="F49" s="318"/>
      <c r="G49" s="565" t="s">
        <v>208</v>
      </c>
      <c r="H49" s="741"/>
      <c r="I49" s="940"/>
      <c r="J49" s="568" t="s">
        <v>408</v>
      </c>
      <c r="K49" s="941"/>
      <c r="L49" s="905" t="s">
        <v>728</v>
      </c>
    </row>
    <row r="50" spans="1:12" ht="89.25">
      <c r="A50" s="67"/>
      <c r="B50" s="721" t="s">
        <v>270</v>
      </c>
      <c r="C50" s="321"/>
      <c r="D50" s="321"/>
      <c r="E50" s="137"/>
      <c r="F50" s="322"/>
      <c r="G50" s="202" t="s">
        <v>332</v>
      </c>
      <c r="H50" s="642" t="s">
        <v>715</v>
      </c>
      <c r="I50" s="279"/>
      <c r="J50" s="92" t="s">
        <v>408</v>
      </c>
      <c r="K50" s="593"/>
      <c r="L50" s="931" t="s">
        <v>729</v>
      </c>
    </row>
    <row r="51" spans="1:12" ht="102.75">
      <c r="A51" s="67"/>
      <c r="B51" s="631" t="s">
        <v>268</v>
      </c>
      <c r="C51" s="321"/>
      <c r="D51" s="321"/>
      <c r="E51" s="137"/>
      <c r="F51" s="322"/>
      <c r="G51" s="448"/>
      <c r="H51" s="950"/>
      <c r="I51" s="942"/>
      <c r="J51" s="92" t="s">
        <v>419</v>
      </c>
      <c r="K51" s="943"/>
      <c r="L51" s="186" t="s">
        <v>730</v>
      </c>
    </row>
    <row r="52" spans="1:12" ht="89.25">
      <c r="A52" s="67"/>
      <c r="B52" s="631" t="s">
        <v>420</v>
      </c>
      <c r="C52" s="321"/>
      <c r="D52" s="321"/>
      <c r="E52" s="137"/>
      <c r="F52" s="322"/>
      <c r="G52" s="202" t="s">
        <v>210</v>
      </c>
      <c r="H52" s="642"/>
      <c r="I52" s="279"/>
      <c r="J52" s="92" t="s">
        <v>408</v>
      </c>
      <c r="K52" s="593"/>
      <c r="L52" s="932" t="s">
        <v>731</v>
      </c>
    </row>
    <row r="53" spans="1:12" ht="179.25" thickBot="1">
      <c r="A53" s="68"/>
      <c r="B53" s="632" t="s">
        <v>357</v>
      </c>
      <c r="C53" s="619"/>
      <c r="D53" s="619"/>
      <c r="E53" s="951"/>
      <c r="F53" s="601"/>
      <c r="G53" s="687" t="s">
        <v>210</v>
      </c>
      <c r="H53" s="688" t="s">
        <v>717</v>
      </c>
      <c r="I53" s="697"/>
      <c r="J53" s="698" t="s">
        <v>419</v>
      </c>
      <c r="K53" s="944"/>
      <c r="L53" s="933" t="s">
        <v>732</v>
      </c>
    </row>
    <row r="54" spans="1:12">
      <c r="D54" s="874">
        <f>SUM(D38:D53)</f>
        <v>0</v>
      </c>
      <c r="E54" s="875">
        <f t="shared" ref="E54:F54" si="1">SUM(E38:E53)</f>
        <v>0</v>
      </c>
      <c r="F54" s="876">
        <f t="shared" si="1"/>
        <v>0</v>
      </c>
    </row>
    <row r="55" spans="1:12" ht="15.75" thickBot="1">
      <c r="D55" s="203" t="s">
        <v>360</v>
      </c>
      <c r="E55" s="204" t="s">
        <v>361</v>
      </c>
      <c r="F55" s="205" t="s">
        <v>362</v>
      </c>
    </row>
    <row r="56" spans="1:12" s="1059" customFormat="1" ht="12.75">
      <c r="A56" s="1062" t="s">
        <v>546</v>
      </c>
      <c r="B56" s="1062"/>
      <c r="C56" s="1060"/>
      <c r="D56" s="1060"/>
      <c r="E56" s="1060"/>
      <c r="F56" s="1060"/>
      <c r="G56" s="1062"/>
      <c r="H56" s="1062"/>
      <c r="I56" s="1062"/>
      <c r="J56" s="1062"/>
      <c r="K56" s="1062"/>
      <c r="L56" s="1062"/>
    </row>
    <row r="57" spans="1:12" s="1059" customFormat="1" ht="12.75">
      <c r="A57" s="1062" t="s">
        <v>707</v>
      </c>
      <c r="B57" s="1062"/>
      <c r="C57" s="1060"/>
      <c r="D57" s="1060"/>
      <c r="E57" s="1060"/>
      <c r="F57" s="1060"/>
      <c r="G57" s="1062"/>
      <c r="H57" s="1062"/>
      <c r="I57" s="1062"/>
      <c r="J57" s="1062"/>
      <c r="K57" s="1062"/>
      <c r="L57" s="1062"/>
    </row>
    <row r="58" spans="1:12" s="1059" customFormat="1" ht="12.75">
      <c r="A58" s="1062" t="s">
        <v>533</v>
      </c>
      <c r="B58" s="1062"/>
      <c r="C58" s="1060"/>
      <c r="D58" s="1060"/>
      <c r="E58" s="1060"/>
      <c r="F58" s="1060"/>
      <c r="G58" s="1062"/>
      <c r="H58" s="1062"/>
      <c r="I58" s="1062"/>
      <c r="J58" s="1062"/>
      <c r="K58" s="1062"/>
      <c r="L58" s="1062"/>
    </row>
    <row r="59" spans="1:12" s="1059" customFormat="1" ht="12.75">
      <c r="A59" s="1062" t="s">
        <v>645</v>
      </c>
      <c r="B59" s="1062"/>
      <c r="C59" s="1060"/>
      <c r="D59" s="1060"/>
      <c r="E59" s="1060"/>
      <c r="F59" s="1060"/>
      <c r="G59" s="1062"/>
      <c r="H59" s="1062"/>
      <c r="I59" s="1062"/>
      <c r="J59" s="1062"/>
      <c r="K59" s="1062"/>
      <c r="L59" s="1062"/>
    </row>
    <row r="60" spans="1:12" s="1059" customFormat="1" ht="12.75">
      <c r="A60" s="1062" t="s">
        <v>709</v>
      </c>
      <c r="B60" s="1062"/>
      <c r="C60" s="1060"/>
      <c r="D60" s="1060"/>
      <c r="E60" s="1060"/>
      <c r="F60" s="1060"/>
      <c r="G60" s="1062"/>
      <c r="H60" s="1062"/>
      <c r="I60" s="1062"/>
      <c r="J60" s="1062"/>
      <c r="K60" s="1062"/>
      <c r="L60" s="1062"/>
    </row>
    <row r="61" spans="1:12" s="1059" customFormat="1" ht="12.75">
      <c r="A61" s="1062" t="s">
        <v>534</v>
      </c>
      <c r="B61" s="1062"/>
      <c r="C61" s="1060"/>
      <c r="D61" s="1060"/>
      <c r="E61" s="1060"/>
      <c r="F61" s="1060"/>
      <c r="G61" s="1062"/>
      <c r="H61" s="1062"/>
      <c r="I61" s="1062"/>
      <c r="J61" s="1062"/>
      <c r="K61" s="1062"/>
      <c r="L61" s="1062"/>
    </row>
    <row r="62" spans="1:12" s="1059" customFormat="1" ht="12.75">
      <c r="A62" s="1062" t="s">
        <v>708</v>
      </c>
      <c r="B62" s="1062"/>
      <c r="C62" s="1060"/>
      <c r="D62" s="1060"/>
      <c r="E62" s="1060"/>
      <c r="F62" s="1060"/>
      <c r="G62" s="1062"/>
      <c r="H62" s="1062"/>
      <c r="I62" s="1062"/>
      <c r="J62" s="1062"/>
      <c r="K62" s="1062"/>
      <c r="L62" s="1062"/>
    </row>
  </sheetData>
  <mergeCells count="10">
    <mergeCell ref="A46:A47"/>
    <mergeCell ref="G46:G47"/>
    <mergeCell ref="A38:A41"/>
    <mergeCell ref="A1:B1"/>
    <mergeCell ref="A10:B10"/>
    <mergeCell ref="C10:K10"/>
    <mergeCell ref="C11:H11"/>
    <mergeCell ref="I11:K11"/>
    <mergeCell ref="C36:H36"/>
    <mergeCell ref="I36:K36"/>
  </mergeCells>
  <hyperlinks>
    <hyperlink ref="H24" r:id="rId1" xr:uid="{15BEA635-AEF5-4A9B-BAF9-DBB31ECC0840}"/>
  </hyperlinks>
  <pageMargins left="0.7" right="0.7" top="0.75" bottom="0.75" header="0.3" footer="0.3"/>
  <pageSetup paperSize="9" scale="37" orientation="portrait" horizontalDpi="4294967293" r:id="rId2"/>
  <drawing r:id="rId3"/>
  <legacy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77B9-B4B4-4686-B8F5-1C405286F690}">
  <dimension ref="A1:F8"/>
  <sheetViews>
    <sheetView zoomScale="75" zoomScaleNormal="75" workbookViewId="0">
      <selection activeCell="A4" sqref="A4"/>
    </sheetView>
  </sheetViews>
  <sheetFormatPr defaultColWidth="8.7109375" defaultRowHeight="15"/>
  <cols>
    <col min="1" max="1" width="45.7109375" bestFit="1" customWidth="1"/>
    <col min="2" max="2" width="11.28515625" bestFit="1" customWidth="1"/>
    <col min="3" max="3" width="9.7109375" bestFit="1" customWidth="1"/>
    <col min="4" max="4" width="11.28515625" bestFit="1" customWidth="1"/>
  </cols>
  <sheetData>
    <row r="1" spans="1:6" ht="21">
      <c r="A1" s="213" t="s">
        <v>494</v>
      </c>
      <c r="B1" s="214"/>
      <c r="C1" s="214"/>
      <c r="D1" s="214"/>
      <c r="F1" s="973" t="s">
        <v>497</v>
      </c>
    </row>
    <row r="2" spans="1:6" ht="21">
      <c r="A2" s="214"/>
      <c r="B2" s="472" t="s">
        <v>367</v>
      </c>
      <c r="C2" s="472" t="s">
        <v>368</v>
      </c>
      <c r="D2" s="472" t="s">
        <v>369</v>
      </c>
    </row>
    <row r="3" spans="1:6" ht="21">
      <c r="A3" s="222" t="s">
        <v>739</v>
      </c>
      <c r="B3" s="473">
        <f>'D7 Housing Worksheet'!D34</f>
        <v>17000</v>
      </c>
      <c r="C3" s="473">
        <f>'D7 Housing Worksheet'!E34</f>
        <v>0</v>
      </c>
      <c r="D3" s="473">
        <f>'D7 Housing Worksheet'!F34</f>
        <v>0</v>
      </c>
    </row>
    <row r="4" spans="1:6" ht="21">
      <c r="A4" s="222" t="s">
        <v>740</v>
      </c>
      <c r="B4" s="473">
        <f>'D7 Housing Worksheet'!D54</f>
        <v>0</v>
      </c>
      <c r="C4" s="473">
        <f>'D7 Housing Worksheet'!E54</f>
        <v>0</v>
      </c>
      <c r="D4" s="473">
        <f>'D7 Housing Worksheet'!F54</f>
        <v>0</v>
      </c>
    </row>
    <row r="5" spans="1:6" ht="21">
      <c r="A5" s="214" t="s">
        <v>371</v>
      </c>
      <c r="B5" s="214"/>
      <c r="C5" s="214"/>
      <c r="D5" s="214"/>
    </row>
    <row r="6" spans="1:6" ht="21">
      <c r="A6" s="214" t="s">
        <v>549</v>
      </c>
      <c r="B6" s="214"/>
      <c r="C6" s="214"/>
      <c r="D6" s="214"/>
    </row>
    <row r="7" spans="1:6" ht="21">
      <c r="A7" s="214" t="s">
        <v>550</v>
      </c>
      <c r="B7" s="214"/>
      <c r="C7" s="214"/>
      <c r="D7" s="214"/>
    </row>
    <row r="8" spans="1:6" ht="21">
      <c r="A8" s="214" t="s">
        <v>551</v>
      </c>
      <c r="B8" s="214"/>
      <c r="C8" s="214"/>
      <c r="D8" s="214"/>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151A4-164F-4FD7-9067-DCFA76B26397}">
  <sheetPr>
    <pageSetUpPr fitToPage="1"/>
  </sheetPr>
  <dimension ref="A1:N59"/>
  <sheetViews>
    <sheetView zoomScale="75" zoomScaleNormal="75" workbookViewId="0">
      <selection activeCell="M1" sqref="M1"/>
    </sheetView>
  </sheetViews>
  <sheetFormatPr defaultColWidth="8.7109375" defaultRowHeight="15"/>
  <cols>
    <col min="1" max="2" width="20.7109375" style="2" customWidth="1"/>
    <col min="3" max="3" width="10.7109375" style="5" customWidth="1"/>
    <col min="4" max="5" width="6.7109375" style="5" customWidth="1"/>
    <col min="6" max="6" width="7.7109375" style="5" bestFit="1" customWidth="1"/>
    <col min="7" max="8" width="28.7109375" style="2" customWidth="1"/>
    <col min="9" max="9" width="10.7109375" style="2" customWidth="1"/>
    <col min="10" max="13" width="28.7109375" style="2" customWidth="1"/>
  </cols>
  <sheetData>
    <row r="1" spans="1:14" ht="21">
      <c r="A1" s="1152" t="s">
        <v>225</v>
      </c>
      <c r="B1" s="1152"/>
      <c r="C1" s="95"/>
      <c r="D1" s="95"/>
      <c r="E1" s="95"/>
      <c r="F1" s="95"/>
      <c r="G1" s="973" t="s">
        <v>497</v>
      </c>
      <c r="H1" s="172"/>
      <c r="I1" s="172"/>
      <c r="J1" s="120"/>
      <c r="K1" s="120"/>
      <c r="L1" s="182"/>
      <c r="M1" s="183"/>
    </row>
    <row r="2" spans="1:14" ht="15" customHeight="1">
      <c r="A2" s="291" t="s">
        <v>333</v>
      </c>
      <c r="B2" t="s">
        <v>282</v>
      </c>
      <c r="C2" s="94"/>
      <c r="D2" s="6"/>
      <c r="E2" s="6"/>
      <c r="F2" s="6"/>
      <c r="G2" s="6"/>
      <c r="H2" s="6"/>
      <c r="I2" s="6"/>
      <c r="J2" s="5"/>
      <c r="K2" s="6"/>
      <c r="L2"/>
      <c r="M2"/>
    </row>
    <row r="3" spans="1:14" ht="15" customHeight="1">
      <c r="A3" s="501" t="s">
        <v>334</v>
      </c>
      <c r="B3" t="s">
        <v>308</v>
      </c>
      <c r="C3" s="94"/>
      <c r="D3" s="6"/>
      <c r="E3" s="6"/>
      <c r="F3" s="6"/>
      <c r="G3" s="6"/>
      <c r="H3" s="6"/>
      <c r="I3" s="6"/>
      <c r="J3" s="6"/>
      <c r="K3" s="6"/>
      <c r="L3"/>
      <c r="M3"/>
    </row>
    <row r="4" spans="1:14" ht="15" customHeight="1">
      <c r="A4" s="292" t="s">
        <v>520</v>
      </c>
      <c r="B4" t="s">
        <v>521</v>
      </c>
      <c r="C4" s="94"/>
      <c r="D4" s="6"/>
      <c r="E4" s="6"/>
      <c r="F4" s="6"/>
      <c r="G4" s="6"/>
      <c r="H4" s="6"/>
      <c r="I4" s="6"/>
      <c r="J4" s="6"/>
      <c r="K4" s="6"/>
      <c r="L4"/>
      <c r="M4"/>
    </row>
    <row r="5" spans="1:14" ht="15" customHeight="1">
      <c r="A5" s="622" t="s">
        <v>487</v>
      </c>
      <c r="B5"/>
      <c r="C5" s="94"/>
      <c r="D5" s="6"/>
      <c r="E5" s="6"/>
      <c r="F5" s="6"/>
      <c r="G5" s="6"/>
      <c r="H5" s="6"/>
      <c r="I5" s="6"/>
      <c r="J5" s="6"/>
      <c r="K5" s="6"/>
      <c r="L5"/>
      <c r="M5"/>
    </row>
    <row r="6" spans="1:14">
      <c r="A6" s="293"/>
      <c r="B6" s="35" t="s">
        <v>136</v>
      </c>
      <c r="C6" s="6"/>
      <c r="D6" s="6"/>
      <c r="E6" s="6"/>
      <c r="F6" s="6"/>
      <c r="G6" s="6"/>
      <c r="H6" s="35"/>
      <c r="I6" s="35"/>
      <c r="J6" s="6"/>
      <c r="K6" s="6"/>
      <c r="L6"/>
      <c r="M6"/>
    </row>
    <row r="7" spans="1:14">
      <c r="A7" s="294"/>
      <c r="B7" s="35" t="s">
        <v>329</v>
      </c>
      <c r="C7" s="6"/>
      <c r="D7" s="6"/>
      <c r="E7" s="6"/>
      <c r="F7" s="6"/>
      <c r="G7" s="6"/>
      <c r="H7" s="35"/>
      <c r="I7" s="35"/>
      <c r="J7" s="6"/>
      <c r="K7" s="6"/>
      <c r="L7"/>
      <c r="M7"/>
    </row>
    <row r="8" spans="1:14">
      <c r="A8" s="295"/>
      <c r="B8" s="35" t="s">
        <v>380</v>
      </c>
      <c r="C8" s="6"/>
      <c r="D8" s="6"/>
      <c r="E8" s="6"/>
      <c r="F8" s="6"/>
      <c r="G8" s="6"/>
      <c r="H8" s="35"/>
      <c r="I8" s="35"/>
      <c r="J8" s="6"/>
      <c r="K8" s="6"/>
      <c r="L8"/>
      <c r="M8"/>
    </row>
    <row r="9" spans="1:14">
      <c r="A9" s="296" t="s">
        <v>391</v>
      </c>
      <c r="B9" s="35" t="s">
        <v>392</v>
      </c>
      <c r="C9" s="6"/>
      <c r="D9" s="6"/>
      <c r="E9" s="6"/>
      <c r="F9" s="6"/>
      <c r="G9" s="6"/>
      <c r="H9" s="35"/>
      <c r="I9" s="35"/>
      <c r="J9" s="6"/>
      <c r="K9" s="6"/>
      <c r="L9"/>
      <c r="M9"/>
    </row>
    <row r="10" spans="1:14" ht="77.650000000000006" customHeight="1" thickBot="1">
      <c r="A10" s="1137"/>
      <c r="B10" s="1138"/>
      <c r="C10" s="1139" t="s">
        <v>1173</v>
      </c>
      <c r="D10" s="1140"/>
      <c r="E10" s="1140"/>
      <c r="F10" s="1140"/>
      <c r="G10" s="1140"/>
      <c r="H10" s="1140"/>
      <c r="I10" s="1140"/>
      <c r="J10" s="1140"/>
      <c r="K10" s="1141"/>
      <c r="L10" s="1135" t="s">
        <v>134</v>
      </c>
      <c r="M10" s="1136"/>
    </row>
    <row r="11" spans="1:14" ht="14.65" customHeight="1">
      <c r="A11" s="672" t="s">
        <v>271</v>
      </c>
      <c r="B11" s="673"/>
      <c r="C11" s="1142" t="s">
        <v>486</v>
      </c>
      <c r="D11" s="1143"/>
      <c r="E11" s="1143"/>
      <c r="F11" s="1143"/>
      <c r="G11" s="1143"/>
      <c r="H11" s="1144"/>
      <c r="I11" s="1142" t="s">
        <v>479</v>
      </c>
      <c r="J11" s="1145"/>
      <c r="K11" s="1146"/>
      <c r="L11" s="564"/>
      <c r="M11" s="561"/>
    </row>
    <row r="12" spans="1:14" ht="25.5">
      <c r="A12" s="138" t="s">
        <v>131</v>
      </c>
      <c r="B12" s="575" t="s">
        <v>117</v>
      </c>
      <c r="C12" s="586" t="s">
        <v>480</v>
      </c>
      <c r="D12" s="570" t="s">
        <v>360</v>
      </c>
      <c r="E12" s="571" t="s">
        <v>361</v>
      </c>
      <c r="F12" s="572" t="s">
        <v>362</v>
      </c>
      <c r="G12" s="573" t="s">
        <v>599</v>
      </c>
      <c r="H12" s="587" t="s">
        <v>422</v>
      </c>
      <c r="I12" s="608" t="s">
        <v>480</v>
      </c>
      <c r="J12" s="104" t="s">
        <v>523</v>
      </c>
      <c r="K12" s="609" t="s">
        <v>422</v>
      </c>
      <c r="L12" s="602" t="s">
        <v>565</v>
      </c>
      <c r="M12" s="11" t="s">
        <v>566</v>
      </c>
    </row>
    <row r="13" spans="1:14" ht="89.25">
      <c r="A13" s="29" t="s">
        <v>50</v>
      </c>
      <c r="B13" s="725" t="s">
        <v>249</v>
      </c>
      <c r="C13" s="776"/>
      <c r="D13" s="436"/>
      <c r="E13" s="437"/>
      <c r="F13" s="511">
        <f>2457*1.7</f>
        <v>4176.8999999999996</v>
      </c>
      <c r="G13" s="208" t="s">
        <v>746</v>
      </c>
      <c r="H13" s="635" t="s">
        <v>987</v>
      </c>
      <c r="I13" s="521"/>
      <c r="J13" s="79" t="s">
        <v>408</v>
      </c>
      <c r="K13" s="635"/>
      <c r="L13" s="655" t="s">
        <v>751</v>
      </c>
      <c r="M13" s="22" t="s">
        <v>758</v>
      </c>
    </row>
    <row r="14" spans="1:14" ht="50.25" customHeight="1">
      <c r="A14" s="40"/>
      <c r="B14" s="625" t="s">
        <v>250</v>
      </c>
      <c r="C14" s="777"/>
      <c r="D14" s="442"/>
      <c r="E14" s="443"/>
      <c r="F14" s="444"/>
      <c r="G14" s="192" t="s">
        <v>180</v>
      </c>
      <c r="H14" s="590"/>
      <c r="I14" s="522"/>
      <c r="J14" s="478" t="s">
        <v>330</v>
      </c>
      <c r="K14" s="666" t="s">
        <v>330</v>
      </c>
      <c r="L14" s="603" t="s">
        <v>251</v>
      </c>
      <c r="M14" s="24" t="s">
        <v>756</v>
      </c>
    </row>
    <row r="15" spans="1:14" ht="132.4" customHeight="1">
      <c r="A15" s="512"/>
      <c r="B15" s="898" t="s">
        <v>165</v>
      </c>
      <c r="C15" s="592"/>
      <c r="D15" s="391"/>
      <c r="E15" s="392"/>
      <c r="F15" s="393">
        <f>3000*1.7</f>
        <v>5100</v>
      </c>
      <c r="G15" s="127" t="s">
        <v>428</v>
      </c>
      <c r="H15" s="198" t="s">
        <v>1097</v>
      </c>
      <c r="I15" s="616"/>
      <c r="J15" s="87" t="s">
        <v>427</v>
      </c>
      <c r="K15" s="614" t="s">
        <v>356</v>
      </c>
      <c r="L15" s="101" t="s">
        <v>87</v>
      </c>
      <c r="M15" s="160" t="s">
        <v>757</v>
      </c>
      <c r="N15" s="9"/>
    </row>
    <row r="16" spans="1:14" ht="51">
      <c r="A16" s="18"/>
      <c r="B16" s="721" t="s">
        <v>67</v>
      </c>
      <c r="C16" s="592"/>
      <c r="D16" s="382"/>
      <c r="E16" s="394"/>
      <c r="F16" s="393"/>
      <c r="G16" s="202" t="s">
        <v>429</v>
      </c>
      <c r="H16" s="642" t="s">
        <v>1096</v>
      </c>
      <c r="I16" s="615"/>
      <c r="J16" s="92" t="s">
        <v>427</v>
      </c>
      <c r="K16" s="642" t="s">
        <v>356</v>
      </c>
      <c r="L16" s="605" t="s">
        <v>752</v>
      </c>
      <c r="M16" s="133"/>
    </row>
    <row r="17" spans="1:13" ht="78" customHeight="1">
      <c r="A17" s="138"/>
      <c r="B17" s="624" t="s">
        <v>745</v>
      </c>
      <c r="C17" s="915"/>
      <c r="D17" s="451"/>
      <c r="E17" s="452"/>
      <c r="F17" s="453"/>
      <c r="G17" s="209" t="s">
        <v>180</v>
      </c>
      <c r="H17" s="634" t="s">
        <v>598</v>
      </c>
      <c r="I17" s="661"/>
      <c r="J17" s="77" t="s">
        <v>408</v>
      </c>
      <c r="K17" s="634"/>
      <c r="L17" s="658" t="s">
        <v>119</v>
      </c>
      <c r="M17" s="28" t="s">
        <v>759</v>
      </c>
    </row>
    <row r="18" spans="1:13" ht="25.5">
      <c r="A18" s="1150" t="s">
        <v>51</v>
      </c>
      <c r="B18" s="623" t="s">
        <v>168</v>
      </c>
      <c r="C18" s="588"/>
      <c r="D18" s="379"/>
      <c r="E18" s="395"/>
      <c r="F18" s="390"/>
      <c r="G18" s="208"/>
      <c r="H18" s="635"/>
      <c r="I18" s="521"/>
      <c r="J18" s="79" t="s">
        <v>408</v>
      </c>
      <c r="K18" s="635"/>
      <c r="L18" s="655" t="s">
        <v>89</v>
      </c>
      <c r="M18" s="27"/>
    </row>
    <row r="19" spans="1:13" ht="63.75">
      <c r="A19" s="1150"/>
      <c r="B19" s="625" t="s">
        <v>744</v>
      </c>
      <c r="C19" s="592"/>
      <c r="D19" s="382"/>
      <c r="E19" s="394"/>
      <c r="F19" s="393">
        <f>8116*1.7</f>
        <v>13797.199999999999</v>
      </c>
      <c r="G19" s="192" t="s">
        <v>375</v>
      </c>
      <c r="H19" s="590" t="s">
        <v>1095</v>
      </c>
      <c r="I19" s="522"/>
      <c r="J19" s="81" t="s">
        <v>408</v>
      </c>
      <c r="K19" s="590" t="s">
        <v>825</v>
      </c>
      <c r="L19" s="603" t="s">
        <v>120</v>
      </c>
      <c r="M19" s="24" t="s">
        <v>760</v>
      </c>
    </row>
    <row r="20" spans="1:13" ht="127.5">
      <c r="A20" s="1150"/>
      <c r="B20" s="624" t="s">
        <v>167</v>
      </c>
      <c r="C20" s="591"/>
      <c r="D20" s="385"/>
      <c r="E20" s="386"/>
      <c r="F20" s="387">
        <f>1850*1.7</f>
        <v>3145</v>
      </c>
      <c r="G20" s="209" t="s">
        <v>375</v>
      </c>
      <c r="H20" s="634" t="s">
        <v>1094</v>
      </c>
      <c r="I20" s="661"/>
      <c r="J20" s="77" t="s">
        <v>408</v>
      </c>
      <c r="K20" s="634"/>
      <c r="L20" s="654"/>
      <c r="M20" s="28"/>
    </row>
    <row r="21" spans="1:13" ht="344.25">
      <c r="A21" s="29" t="s">
        <v>54</v>
      </c>
      <c r="B21" s="623" t="s">
        <v>189</v>
      </c>
      <c r="C21" s="685"/>
      <c r="D21" s="408"/>
      <c r="E21" s="409"/>
      <c r="F21" s="410">
        <f>3684*1.7</f>
        <v>6262.8</v>
      </c>
      <c r="G21" s="208" t="s">
        <v>1185</v>
      </c>
      <c r="H21" s="1110" t="s">
        <v>1186</v>
      </c>
      <c r="I21" s="665"/>
      <c r="J21" s="478" t="s">
        <v>330</v>
      </c>
      <c r="K21" s="666" t="s">
        <v>330</v>
      </c>
      <c r="L21" s="655" t="s">
        <v>753</v>
      </c>
      <c r="M21" s="22" t="s">
        <v>761</v>
      </c>
    </row>
    <row r="22" spans="1:13" ht="51">
      <c r="A22" s="41"/>
      <c r="B22" s="752" t="s">
        <v>353</v>
      </c>
      <c r="C22" s="685"/>
      <c r="D22" s="408">
        <v>844</v>
      </c>
      <c r="E22" s="409"/>
      <c r="F22" s="410"/>
      <c r="G22" s="224" t="s">
        <v>1013</v>
      </c>
      <c r="H22" s="706" t="s">
        <v>1189</v>
      </c>
      <c r="I22" s="665"/>
      <c r="J22" s="478" t="s">
        <v>330</v>
      </c>
      <c r="K22" s="666" t="s">
        <v>330</v>
      </c>
      <c r="L22" s="722"/>
      <c r="M22" s="55"/>
    </row>
    <row r="23" spans="1:13" ht="127.5">
      <c r="A23" s="41"/>
      <c r="B23" s="628" t="s">
        <v>743</v>
      </c>
      <c r="C23" s="592"/>
      <c r="D23" s="382">
        <f>673*1.7</f>
        <v>1144.0999999999999</v>
      </c>
      <c r="E23" s="394"/>
      <c r="F23" s="393"/>
      <c r="G23" s="192" t="s">
        <v>1137</v>
      </c>
      <c r="H23" s="590" t="s">
        <v>1093</v>
      </c>
      <c r="I23" s="522"/>
      <c r="J23" s="478" t="s">
        <v>330</v>
      </c>
      <c r="K23" s="666" t="s">
        <v>330</v>
      </c>
      <c r="L23" s="603" t="s">
        <v>754</v>
      </c>
      <c r="M23" s="58"/>
    </row>
    <row r="24" spans="1:13" ht="127.5">
      <c r="A24" s="41"/>
      <c r="B24" s="625" t="s">
        <v>742</v>
      </c>
      <c r="C24" s="592"/>
      <c r="D24" s="382"/>
      <c r="E24" s="394"/>
      <c r="F24" s="393"/>
      <c r="G24" s="192" t="s">
        <v>747</v>
      </c>
      <c r="H24" s="590" t="s">
        <v>1187</v>
      </c>
      <c r="I24" s="522"/>
      <c r="J24" s="81" t="s">
        <v>408</v>
      </c>
      <c r="K24" s="590"/>
      <c r="L24" s="603" t="s">
        <v>157</v>
      </c>
      <c r="M24" s="24"/>
    </row>
    <row r="25" spans="1:13" ht="38.25">
      <c r="A25" s="40"/>
      <c r="B25" s="625" t="s">
        <v>169</v>
      </c>
      <c r="C25" s="592"/>
      <c r="D25" s="382"/>
      <c r="E25" s="394"/>
      <c r="F25" s="393"/>
      <c r="G25" s="192" t="s">
        <v>430</v>
      </c>
      <c r="H25" s="590" t="s">
        <v>750</v>
      </c>
      <c r="I25" s="522"/>
      <c r="J25" s="81" t="s">
        <v>408</v>
      </c>
      <c r="K25" s="590"/>
      <c r="L25" s="603"/>
      <c r="M25" s="24" t="s">
        <v>4</v>
      </c>
    </row>
    <row r="26" spans="1:13" ht="38.25">
      <c r="A26" s="41"/>
      <c r="B26" s="629" t="s">
        <v>145</v>
      </c>
      <c r="C26" s="591"/>
      <c r="D26" s="385"/>
      <c r="E26" s="386"/>
      <c r="F26" s="387"/>
      <c r="G26" s="209" t="s">
        <v>183</v>
      </c>
      <c r="H26" s="634"/>
      <c r="I26" s="661"/>
      <c r="J26" s="77" t="s">
        <v>408</v>
      </c>
      <c r="K26" s="634" t="s">
        <v>1144</v>
      </c>
      <c r="L26" s="658"/>
      <c r="M26" s="161"/>
    </row>
    <row r="27" spans="1:13" ht="89.25">
      <c r="A27" s="29" t="s">
        <v>52</v>
      </c>
      <c r="B27" s="623" t="s">
        <v>53</v>
      </c>
      <c r="C27" s="776"/>
      <c r="D27" s="436"/>
      <c r="E27" s="437"/>
      <c r="F27" s="438"/>
      <c r="G27" s="208" t="s">
        <v>748</v>
      </c>
      <c r="H27" s="635"/>
      <c r="I27" s="665"/>
      <c r="J27" s="478" t="s">
        <v>330</v>
      </c>
      <c r="K27" s="666" t="s">
        <v>330</v>
      </c>
      <c r="L27" s="655" t="s">
        <v>104</v>
      </c>
      <c r="M27" s="22" t="s">
        <v>763</v>
      </c>
    </row>
    <row r="28" spans="1:13" ht="25.5">
      <c r="A28" s="39"/>
      <c r="B28" s="625" t="s">
        <v>741</v>
      </c>
      <c r="C28" s="975" t="s">
        <v>330</v>
      </c>
      <c r="D28" s="442"/>
      <c r="E28" s="443"/>
      <c r="F28" s="444"/>
      <c r="G28" s="513" t="s">
        <v>330</v>
      </c>
      <c r="H28" s="666" t="s">
        <v>330</v>
      </c>
      <c r="I28" s="910"/>
      <c r="J28" s="81" t="s">
        <v>408</v>
      </c>
      <c r="K28" s="590"/>
      <c r="L28" s="603" t="s">
        <v>103</v>
      </c>
      <c r="M28" s="23"/>
    </row>
    <row r="29" spans="1:13" ht="38.25">
      <c r="A29" s="39"/>
      <c r="B29" s="625" t="s">
        <v>158</v>
      </c>
      <c r="C29" s="777"/>
      <c r="D29" s="442"/>
      <c r="E29" s="443"/>
      <c r="F29" s="444"/>
      <c r="G29" s="192" t="s">
        <v>176</v>
      </c>
      <c r="H29" s="590"/>
      <c r="I29" s="522"/>
      <c r="J29" s="81" t="s">
        <v>408</v>
      </c>
      <c r="K29" s="666"/>
      <c r="L29" s="656"/>
      <c r="M29" s="24" t="s">
        <v>123</v>
      </c>
    </row>
    <row r="30" spans="1:13" ht="30.75" customHeight="1">
      <c r="A30" s="39"/>
      <c r="B30" s="625" t="s">
        <v>170</v>
      </c>
      <c r="C30" s="777"/>
      <c r="D30" s="442"/>
      <c r="E30" s="443"/>
      <c r="F30" s="444"/>
      <c r="G30" s="192" t="s">
        <v>176</v>
      </c>
      <c r="H30" s="590"/>
      <c r="I30" s="522"/>
      <c r="J30" s="478" t="s">
        <v>330</v>
      </c>
      <c r="K30" s="666" t="s">
        <v>330</v>
      </c>
      <c r="L30" s="656"/>
      <c r="M30" s="23"/>
    </row>
    <row r="31" spans="1:13" ht="76.5">
      <c r="A31" s="54"/>
      <c r="B31" s="624" t="s">
        <v>171</v>
      </c>
      <c r="C31" s="775"/>
      <c r="D31" s="439"/>
      <c r="E31" s="440"/>
      <c r="F31" s="441"/>
      <c r="G31" s="209" t="s">
        <v>1138</v>
      </c>
      <c r="H31" s="634" t="s">
        <v>1092</v>
      </c>
      <c r="I31" s="661"/>
      <c r="J31" s="77" t="s">
        <v>408</v>
      </c>
      <c r="K31" s="634"/>
      <c r="L31" s="658" t="s">
        <v>124</v>
      </c>
      <c r="M31" s="28" t="s">
        <v>762</v>
      </c>
    </row>
    <row r="32" spans="1:13" ht="43.5" customHeight="1" thickBot="1">
      <c r="A32" s="29" t="s">
        <v>159</v>
      </c>
      <c r="B32" s="914" t="s">
        <v>172</v>
      </c>
      <c r="C32" s="916"/>
      <c r="D32" s="491"/>
      <c r="E32" s="492"/>
      <c r="F32" s="493"/>
      <c r="G32" s="917" t="s">
        <v>190</v>
      </c>
      <c r="H32" s="918"/>
      <c r="I32" s="911"/>
      <c r="J32" s="912" t="s">
        <v>408</v>
      </c>
      <c r="K32" s="913"/>
      <c r="L32" s="909" t="s">
        <v>55</v>
      </c>
      <c r="M32" s="299" t="s">
        <v>125</v>
      </c>
    </row>
    <row r="33" spans="1:13">
      <c r="A33" s="455"/>
      <c r="B33" s="116"/>
      <c r="D33" s="874">
        <f>SUM(D13:D32)</f>
        <v>1988.1</v>
      </c>
      <c r="E33" s="875">
        <f t="shared" ref="E33:F33" si="0">SUM(E13:E32)</f>
        <v>0</v>
      </c>
      <c r="F33" s="876">
        <f t="shared" si="0"/>
        <v>32481.899999999998</v>
      </c>
      <c r="G33" s="112"/>
      <c r="H33" s="112"/>
      <c r="I33" s="112"/>
      <c r="J33" s="454"/>
      <c r="K33" s="454"/>
      <c r="L33" s="116"/>
      <c r="M33" s="116"/>
    </row>
    <row r="34" spans="1:13" ht="15.75" thickBot="1">
      <c r="A34" s="206"/>
      <c r="B34" s="112"/>
      <c r="D34" s="203" t="s">
        <v>360</v>
      </c>
      <c r="E34" s="204" t="s">
        <v>361</v>
      </c>
      <c r="F34" s="205" t="s">
        <v>362</v>
      </c>
      <c r="G34" s="112"/>
      <c r="H34" s="112"/>
      <c r="I34" s="112"/>
      <c r="J34" s="454"/>
      <c r="K34" s="454"/>
      <c r="L34" s="112"/>
      <c r="M34" s="112"/>
    </row>
    <row r="35" spans="1:13" ht="14.65" customHeight="1">
      <c r="A35" s="672" t="s">
        <v>272</v>
      </c>
      <c r="B35" s="673"/>
      <c r="C35" s="1142" t="s">
        <v>486</v>
      </c>
      <c r="D35" s="1143"/>
      <c r="E35" s="1143"/>
      <c r="F35" s="1143"/>
      <c r="G35" s="1143"/>
      <c r="H35" s="1144"/>
      <c r="I35" s="1142" t="s">
        <v>479</v>
      </c>
      <c r="J35" s="1145"/>
      <c r="K35" s="1146"/>
      <c r="L35" s="564"/>
      <c r="M35" s="561"/>
    </row>
    <row r="36" spans="1:13" ht="38.25">
      <c r="A36" s="138" t="s">
        <v>131</v>
      </c>
      <c r="B36" s="575" t="s">
        <v>117</v>
      </c>
      <c r="C36" s="586" t="s">
        <v>480</v>
      </c>
      <c r="D36" s="570" t="s">
        <v>360</v>
      </c>
      <c r="E36" s="571" t="s">
        <v>361</v>
      </c>
      <c r="F36" s="572" t="s">
        <v>362</v>
      </c>
      <c r="G36" s="573" t="s">
        <v>463</v>
      </c>
      <c r="H36" s="587" t="s">
        <v>422</v>
      </c>
      <c r="I36" s="608" t="s">
        <v>480</v>
      </c>
      <c r="J36" s="104" t="s">
        <v>213</v>
      </c>
      <c r="K36" s="609" t="s">
        <v>422</v>
      </c>
      <c r="L36" s="602" t="s">
        <v>91</v>
      </c>
      <c r="M36" s="11" t="s">
        <v>345</v>
      </c>
    </row>
    <row r="37" spans="1:13" ht="102">
      <c r="A37" s="1158" t="s">
        <v>133</v>
      </c>
      <c r="B37" s="623" t="s">
        <v>764</v>
      </c>
      <c r="C37" s="776"/>
      <c r="D37" s="436"/>
      <c r="E37" s="437"/>
      <c r="F37" s="438"/>
      <c r="G37" s="208" t="s">
        <v>431</v>
      </c>
      <c r="H37" s="635" t="s">
        <v>771</v>
      </c>
      <c r="I37" s="521"/>
      <c r="J37" s="79" t="s">
        <v>408</v>
      </c>
      <c r="K37" s="635" t="s">
        <v>773</v>
      </c>
      <c r="L37" s="655" t="s">
        <v>778</v>
      </c>
      <c r="M37" s="22" t="s">
        <v>784</v>
      </c>
    </row>
    <row r="38" spans="1:13" ht="38.25">
      <c r="A38" s="1159"/>
      <c r="B38" s="720" t="s">
        <v>765</v>
      </c>
      <c r="C38" s="777"/>
      <c r="D38" s="507"/>
      <c r="E38" s="508"/>
      <c r="F38" s="509"/>
      <c r="G38" s="224" t="s">
        <v>183</v>
      </c>
      <c r="H38" s="706"/>
      <c r="I38" s="665"/>
      <c r="J38" s="84" t="s">
        <v>408</v>
      </c>
      <c r="K38" s="706"/>
      <c r="L38" s="722"/>
      <c r="M38" s="55"/>
    </row>
    <row r="39" spans="1:13" ht="89.25">
      <c r="A39" s="1159"/>
      <c r="B39" s="628" t="s">
        <v>160</v>
      </c>
      <c r="C39" s="777"/>
      <c r="D39" s="442"/>
      <c r="E39" s="443"/>
      <c r="F39" s="520">
        <f>650*1.7</f>
        <v>1105</v>
      </c>
      <c r="G39" s="192" t="s">
        <v>381</v>
      </c>
      <c r="H39" s="590" t="s">
        <v>777</v>
      </c>
      <c r="I39" s="522"/>
      <c r="J39" s="81" t="s">
        <v>408</v>
      </c>
      <c r="K39" s="590"/>
      <c r="L39" s="603" t="s">
        <v>779</v>
      </c>
      <c r="M39" s="24" t="s">
        <v>782</v>
      </c>
    </row>
    <row r="40" spans="1:13" ht="25.5">
      <c r="A40" s="40"/>
      <c r="B40" s="629" t="s">
        <v>56</v>
      </c>
      <c r="C40" s="775"/>
      <c r="D40" s="439"/>
      <c r="E40" s="440"/>
      <c r="F40" s="441"/>
      <c r="G40" s="209" t="s">
        <v>432</v>
      </c>
      <c r="H40" s="634"/>
      <c r="I40" s="661"/>
      <c r="J40" s="77" t="s">
        <v>408</v>
      </c>
      <c r="K40" s="634"/>
      <c r="L40" s="654"/>
      <c r="M40" s="28" t="s">
        <v>4</v>
      </c>
    </row>
    <row r="41" spans="1:13" ht="76.5">
      <c r="A41" s="29" t="s">
        <v>199</v>
      </c>
      <c r="B41" s="919" t="s">
        <v>5</v>
      </c>
      <c r="C41" s="921"/>
      <c r="D41" s="507"/>
      <c r="E41" s="508"/>
      <c r="F41" s="1092">
        <f>5760*1.7</f>
        <v>9792</v>
      </c>
      <c r="G41" s="114" t="s">
        <v>1139</v>
      </c>
      <c r="H41" s="633" t="s">
        <v>775</v>
      </c>
      <c r="I41" s="660"/>
      <c r="J41" s="111" t="s">
        <v>408</v>
      </c>
      <c r="K41" s="633"/>
      <c r="L41" s="922" t="s">
        <v>0</v>
      </c>
      <c r="M41" s="64" t="s">
        <v>781</v>
      </c>
    </row>
    <row r="42" spans="1:13" ht="51">
      <c r="A42" s="59"/>
      <c r="B42" s="898" t="s">
        <v>3</v>
      </c>
      <c r="C42" s="777"/>
      <c r="D42" s="442"/>
      <c r="E42" s="443"/>
      <c r="F42" s="520">
        <f>6403*1.7</f>
        <v>10885.1</v>
      </c>
      <c r="G42" s="127" t="s">
        <v>1140</v>
      </c>
      <c r="H42" s="198" t="s">
        <v>776</v>
      </c>
      <c r="I42" s="616"/>
      <c r="J42" s="87" t="s">
        <v>408</v>
      </c>
      <c r="K42" s="198"/>
      <c r="L42" s="101" t="s">
        <v>90</v>
      </c>
      <c r="M42" s="62" t="s">
        <v>780</v>
      </c>
    </row>
    <row r="43" spans="1:13" ht="38.25">
      <c r="A43" s="16"/>
      <c r="B43" s="898" t="s">
        <v>6</v>
      </c>
      <c r="C43" s="777"/>
      <c r="D43" s="442"/>
      <c r="E43" s="443"/>
      <c r="F43" s="444"/>
      <c r="G43" s="130" t="s">
        <v>1141</v>
      </c>
      <c r="H43" s="198"/>
      <c r="I43" s="636"/>
      <c r="J43" s="87" t="s">
        <v>772</v>
      </c>
      <c r="K43" s="923"/>
      <c r="L43" s="101" t="s">
        <v>89</v>
      </c>
      <c r="M43" s="62" t="s">
        <v>132</v>
      </c>
    </row>
    <row r="44" spans="1:13" ht="25.5">
      <c r="A44" s="51"/>
      <c r="B44" s="899" t="s">
        <v>766</v>
      </c>
      <c r="C44" s="1091" t="s">
        <v>330</v>
      </c>
      <c r="D44" s="439"/>
      <c r="E44" s="440"/>
      <c r="F44" s="441"/>
      <c r="G44" s="514" t="s">
        <v>330</v>
      </c>
      <c r="H44" s="474" t="s">
        <v>330</v>
      </c>
      <c r="I44" s="747"/>
      <c r="J44" s="78" t="s">
        <v>408</v>
      </c>
      <c r="K44" s="196"/>
      <c r="L44" s="604"/>
      <c r="M44" s="65"/>
    </row>
    <row r="45" spans="1:13" ht="51">
      <c r="A45" s="15" t="s">
        <v>86</v>
      </c>
      <c r="B45" s="920" t="s">
        <v>1</v>
      </c>
      <c r="C45" s="776"/>
      <c r="D45" s="436"/>
      <c r="E45" s="437"/>
      <c r="F45" s="438"/>
      <c r="G45" s="459" t="s">
        <v>1142</v>
      </c>
      <c r="H45" s="197" t="s">
        <v>770</v>
      </c>
      <c r="I45" s="823"/>
      <c r="J45" s="75" t="s">
        <v>408</v>
      </c>
      <c r="K45" s="197"/>
      <c r="L45" s="100" t="s">
        <v>1190</v>
      </c>
      <c r="M45" s="12"/>
    </row>
    <row r="46" spans="1:13" ht="117.4" customHeight="1">
      <c r="A46" s="16"/>
      <c r="B46" s="898" t="s">
        <v>767</v>
      </c>
      <c r="C46" s="777"/>
      <c r="D46" s="442"/>
      <c r="E46" s="443"/>
      <c r="F46" s="520">
        <f>3848*1.7</f>
        <v>6541.5999999999995</v>
      </c>
      <c r="G46" s="460" t="s">
        <v>1143</v>
      </c>
      <c r="H46" s="198" t="s">
        <v>774</v>
      </c>
      <c r="I46" s="616"/>
      <c r="J46" s="87" t="s">
        <v>408</v>
      </c>
      <c r="K46" s="198" t="s">
        <v>356</v>
      </c>
      <c r="L46" s="101" t="s">
        <v>88</v>
      </c>
      <c r="M46" s="13"/>
    </row>
    <row r="47" spans="1:13" ht="63.75">
      <c r="A47" s="16"/>
      <c r="B47" s="898" t="s">
        <v>768</v>
      </c>
      <c r="C47" s="775"/>
      <c r="D47" s="445"/>
      <c r="E47" s="446"/>
      <c r="F47" s="447"/>
      <c r="G47" s="199" t="s">
        <v>359</v>
      </c>
      <c r="H47" s="896"/>
      <c r="I47" s="613"/>
      <c r="J47" s="78" t="s">
        <v>408</v>
      </c>
      <c r="K47" s="196"/>
      <c r="L47" s="101"/>
      <c r="M47" s="13"/>
    </row>
    <row r="48" spans="1:13" ht="54.75" customHeight="1">
      <c r="A48" s="41"/>
      <c r="B48" s="725" t="s">
        <v>311</v>
      </c>
      <c r="C48" s="776"/>
      <c r="D48" s="436"/>
      <c r="E48" s="437"/>
      <c r="F48" s="438"/>
      <c r="G48" s="208" t="s">
        <v>433</v>
      </c>
      <c r="H48" s="635"/>
      <c r="I48" s="521"/>
      <c r="J48" s="79" t="s">
        <v>408</v>
      </c>
      <c r="K48" s="635"/>
      <c r="L48" s="655" t="s">
        <v>126</v>
      </c>
      <c r="M48" s="22" t="s">
        <v>127</v>
      </c>
    </row>
    <row r="49" spans="1:13" ht="25.5">
      <c r="A49" s="41"/>
      <c r="B49" s="625" t="s">
        <v>769</v>
      </c>
      <c r="C49" s="777"/>
      <c r="D49" s="442"/>
      <c r="E49" s="443"/>
      <c r="F49" s="444"/>
      <c r="G49" s="192" t="s">
        <v>183</v>
      </c>
      <c r="H49" s="590"/>
      <c r="I49" s="522"/>
      <c r="J49" s="81" t="s">
        <v>408</v>
      </c>
      <c r="K49" s="590"/>
      <c r="L49" s="603"/>
      <c r="M49" s="24"/>
    </row>
    <row r="50" spans="1:13" ht="39" thickBot="1">
      <c r="A50" s="54"/>
      <c r="B50" s="624" t="s">
        <v>2</v>
      </c>
      <c r="C50" s="807"/>
      <c r="D50" s="597"/>
      <c r="E50" s="598"/>
      <c r="F50" s="599">
        <f>3000*1.7</f>
        <v>5100</v>
      </c>
      <c r="G50" s="645" t="s">
        <v>434</v>
      </c>
      <c r="H50" s="646" t="s">
        <v>1041</v>
      </c>
      <c r="I50" s="670"/>
      <c r="J50" s="671" t="s">
        <v>408</v>
      </c>
      <c r="K50" s="646" t="s">
        <v>356</v>
      </c>
      <c r="L50" s="658" t="s">
        <v>129</v>
      </c>
      <c r="M50" s="28" t="s">
        <v>783</v>
      </c>
    </row>
    <row r="51" spans="1:13">
      <c r="D51" s="874">
        <f>SUM(D37:D50)</f>
        <v>0</v>
      </c>
      <c r="E51" s="875">
        <f t="shared" ref="E51:F51" si="1">SUM(E37:E50)</f>
        <v>0</v>
      </c>
      <c r="F51" s="876">
        <f t="shared" si="1"/>
        <v>33423.699999999997</v>
      </c>
    </row>
    <row r="52" spans="1:13" ht="15.75" thickBot="1">
      <c r="D52" s="203" t="s">
        <v>360</v>
      </c>
      <c r="E52" s="204" t="s">
        <v>361</v>
      </c>
      <c r="F52" s="205" t="s">
        <v>362</v>
      </c>
    </row>
    <row r="53" spans="1:13" s="1059" customFormat="1" ht="12.75">
      <c r="A53" s="1062" t="s">
        <v>749</v>
      </c>
      <c r="B53" s="1062"/>
      <c r="C53" s="1060"/>
      <c r="D53" s="1060"/>
      <c r="E53" s="1060"/>
      <c r="F53" s="1060"/>
      <c r="G53" s="1062"/>
      <c r="H53" s="1062"/>
      <c r="I53" s="1062"/>
      <c r="J53" s="1062"/>
      <c r="K53" s="1062"/>
      <c r="L53" s="1062"/>
      <c r="M53" s="1062"/>
    </row>
    <row r="54" spans="1:13" s="1059" customFormat="1" ht="12.75">
      <c r="A54" s="1062" t="s">
        <v>533</v>
      </c>
      <c r="B54" s="1062"/>
      <c r="C54" s="1060"/>
      <c r="D54" s="1060"/>
      <c r="E54" s="1060"/>
      <c r="F54" s="1060"/>
      <c r="G54" s="1062"/>
      <c r="H54" s="1062"/>
      <c r="I54" s="1062"/>
      <c r="J54" s="1062"/>
      <c r="K54" s="1062"/>
      <c r="L54" s="1062"/>
      <c r="M54" s="1062"/>
    </row>
    <row r="55" spans="1:13" s="1059" customFormat="1" ht="12.75">
      <c r="A55" s="1062" t="s">
        <v>668</v>
      </c>
      <c r="B55" s="1062"/>
      <c r="C55" s="1060"/>
      <c r="D55" s="1060"/>
      <c r="E55" s="1060"/>
      <c r="F55" s="1060"/>
      <c r="G55" s="1062"/>
      <c r="H55" s="1062"/>
      <c r="I55" s="1062"/>
      <c r="J55" s="1062"/>
      <c r="K55" s="1062"/>
      <c r="L55" s="1062"/>
      <c r="M55" s="1062"/>
    </row>
    <row r="56" spans="1:13" s="1059" customFormat="1" ht="12.75">
      <c r="A56" s="1062" t="s">
        <v>535</v>
      </c>
      <c r="B56" s="1062"/>
      <c r="C56" s="1060"/>
      <c r="D56" s="1060"/>
      <c r="E56" s="1060"/>
      <c r="F56" s="1060"/>
      <c r="G56" s="1062"/>
      <c r="H56" s="1062"/>
      <c r="I56" s="1062"/>
      <c r="J56" s="1062"/>
      <c r="K56" s="1062"/>
      <c r="L56" s="1062"/>
      <c r="M56" s="1062"/>
    </row>
    <row r="57" spans="1:13" s="1059" customFormat="1" ht="12.75">
      <c r="A57" s="1062" t="s">
        <v>709</v>
      </c>
      <c r="B57" s="1062"/>
      <c r="C57" s="1060"/>
      <c r="D57" s="1060"/>
      <c r="E57" s="1060"/>
      <c r="F57" s="1060"/>
      <c r="G57" s="1062"/>
      <c r="H57" s="1062"/>
      <c r="I57" s="1062"/>
      <c r="J57" s="1062"/>
      <c r="K57" s="1062"/>
      <c r="L57" s="1062"/>
      <c r="M57" s="1062"/>
    </row>
    <row r="58" spans="1:13" s="1059" customFormat="1" ht="12.75">
      <c r="A58" s="1062" t="s">
        <v>534</v>
      </c>
      <c r="B58" s="1062"/>
      <c r="C58" s="1060"/>
      <c r="D58" s="1060"/>
      <c r="E58" s="1060"/>
      <c r="F58" s="1060"/>
      <c r="G58" s="1062"/>
      <c r="H58" s="1062"/>
      <c r="I58" s="1062"/>
      <c r="J58" s="1062"/>
      <c r="K58" s="1062"/>
      <c r="L58" s="1062"/>
      <c r="M58" s="1062"/>
    </row>
    <row r="59" spans="1:13" s="1059" customFormat="1" ht="12.75">
      <c r="A59" s="1062" t="s">
        <v>755</v>
      </c>
      <c r="B59" s="1062"/>
      <c r="C59" s="1060"/>
      <c r="D59" s="1060"/>
      <c r="E59" s="1060"/>
      <c r="F59" s="1060"/>
      <c r="G59" s="1062"/>
      <c r="H59" s="1062"/>
      <c r="I59" s="1062"/>
      <c r="J59" s="1062"/>
      <c r="K59" s="1062"/>
      <c r="L59" s="1062"/>
      <c r="M59" s="1062"/>
    </row>
  </sheetData>
  <mergeCells count="10">
    <mergeCell ref="L10:M10"/>
    <mergeCell ref="C11:H11"/>
    <mergeCell ref="I11:K11"/>
    <mergeCell ref="C35:H35"/>
    <mergeCell ref="I35:K35"/>
    <mergeCell ref="A18:A20"/>
    <mergeCell ref="A37:A39"/>
    <mergeCell ref="A1:B1"/>
    <mergeCell ref="A10:B10"/>
    <mergeCell ref="C10:K10"/>
  </mergeCells>
  <pageMargins left="0.7" right="0.7" top="0.75" bottom="0.75" header="0.3" footer="0.3"/>
  <pageSetup paperSize="9" scale="40" orientation="portrait" horizontalDpi="4294967294"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6EFF-2FB5-4390-82BF-EF6AB1077B4D}">
  <dimension ref="C6:H8"/>
  <sheetViews>
    <sheetView workbookViewId="0">
      <selection activeCell="K12" sqref="K12"/>
    </sheetView>
  </sheetViews>
  <sheetFormatPr defaultRowHeight="15"/>
  <sheetData>
    <row r="6" spans="3:8" ht="15.75">
      <c r="C6" s="1127"/>
      <c r="H6" s="1127"/>
    </row>
    <row r="7" spans="3:8" ht="15.75">
      <c r="C7" s="1127"/>
      <c r="H7" s="1127"/>
    </row>
    <row r="8" spans="3:8" ht="15.75">
      <c r="C8" s="1128"/>
      <c r="G8" s="1127"/>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62F1-8204-4399-971B-1F2DC75E4E8F}">
  <dimension ref="A1:F8"/>
  <sheetViews>
    <sheetView zoomScale="75" zoomScaleNormal="75" workbookViewId="0">
      <selection activeCell="K13" sqref="K13"/>
    </sheetView>
  </sheetViews>
  <sheetFormatPr defaultColWidth="8.7109375" defaultRowHeight="15"/>
  <cols>
    <col min="1" max="1" width="45.7109375" bestFit="1" customWidth="1"/>
    <col min="2" max="2" width="9.7109375" bestFit="1" customWidth="1"/>
    <col min="4" max="4" width="11.28515625" bestFit="1" customWidth="1"/>
  </cols>
  <sheetData>
    <row r="1" spans="1:6" ht="21">
      <c r="A1" s="213" t="s">
        <v>495</v>
      </c>
      <c r="B1" s="214"/>
      <c r="C1" s="214"/>
      <c r="D1" s="214"/>
      <c r="F1" s="973" t="s">
        <v>497</v>
      </c>
    </row>
    <row r="2" spans="1:6" ht="21">
      <c r="A2" s="214"/>
      <c r="B2" s="472" t="s">
        <v>367</v>
      </c>
      <c r="C2" s="472" t="s">
        <v>368</v>
      </c>
      <c r="D2" s="472" t="s">
        <v>369</v>
      </c>
    </row>
    <row r="3" spans="1:6" ht="21">
      <c r="A3" s="222" t="s">
        <v>412</v>
      </c>
      <c r="B3" s="473">
        <f>'D8 Social Engagement Worksheet '!D33</f>
        <v>1988.1</v>
      </c>
      <c r="C3" s="473">
        <f>'D8 Social Engagement Worksheet '!E33</f>
        <v>0</v>
      </c>
      <c r="D3" s="473">
        <f>'D8 Social Engagement Worksheet '!F33</f>
        <v>32481.899999999998</v>
      </c>
    </row>
    <row r="4" spans="1:6" ht="21">
      <c r="A4" s="222" t="s">
        <v>785</v>
      </c>
      <c r="B4" s="473">
        <f>'D8 Social Engagement Worksheet '!D51</f>
        <v>0</v>
      </c>
      <c r="C4" s="473">
        <f>'D8 Social Engagement Worksheet '!E51</f>
        <v>0</v>
      </c>
      <c r="D4" s="473">
        <f>'D8 Social Engagement Worksheet '!F51</f>
        <v>33423.699999999997</v>
      </c>
    </row>
    <row r="5" spans="1:6" ht="21">
      <c r="A5" s="214" t="s">
        <v>371</v>
      </c>
      <c r="B5" s="214"/>
      <c r="C5" s="214"/>
      <c r="D5" s="214"/>
    </row>
    <row r="6" spans="1:6" ht="21">
      <c r="A6" s="214" t="s">
        <v>549</v>
      </c>
      <c r="B6" s="214"/>
      <c r="C6" s="214"/>
      <c r="D6" s="214"/>
    </row>
    <row r="7" spans="1:6" ht="21">
      <c r="A7" s="214" t="s">
        <v>550</v>
      </c>
      <c r="B7" s="214"/>
      <c r="C7" s="214"/>
      <c r="D7" s="214"/>
    </row>
    <row r="8" spans="1:6" ht="21">
      <c r="A8" s="214" t="s">
        <v>551</v>
      </c>
      <c r="B8" s="214"/>
      <c r="C8" s="214"/>
      <c r="D8" s="214"/>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E8A62-0E4D-430F-9BB0-8139C7650CB4}">
  <sheetPr>
    <pageSetUpPr fitToPage="1"/>
  </sheetPr>
  <dimension ref="A1:M52"/>
  <sheetViews>
    <sheetView zoomScale="75" zoomScaleNormal="75" workbookViewId="0">
      <selection activeCell="L1" sqref="L1:M1"/>
    </sheetView>
  </sheetViews>
  <sheetFormatPr defaultColWidth="8.7109375" defaultRowHeight="15"/>
  <cols>
    <col min="1" max="2" width="20.7109375" style="2" customWidth="1"/>
    <col min="3" max="3" width="10.7109375" style="5" customWidth="1"/>
    <col min="4" max="6" width="6.7109375" style="5" customWidth="1"/>
    <col min="7" max="8" width="28.7109375" style="2" customWidth="1"/>
    <col min="9" max="9" width="10.7109375" style="2" customWidth="1"/>
    <col min="10" max="13" width="28.7109375" style="2" customWidth="1"/>
  </cols>
  <sheetData>
    <row r="1" spans="1:13" ht="21">
      <c r="A1" s="1152" t="s">
        <v>226</v>
      </c>
      <c r="B1" s="1152"/>
      <c r="C1" s="95"/>
      <c r="D1" s="95"/>
      <c r="E1" s="95"/>
      <c r="F1" s="95"/>
      <c r="G1" s="973" t="s">
        <v>497</v>
      </c>
      <c r="H1" s="121"/>
      <c r="I1" s="121"/>
      <c r="J1" s="121"/>
      <c r="K1" s="120"/>
      <c r="L1" s="1148"/>
      <c r="M1" s="1149"/>
    </row>
    <row r="2" spans="1:13" ht="15" customHeight="1">
      <c r="A2" s="291" t="s">
        <v>333</v>
      </c>
      <c r="B2" t="s">
        <v>282</v>
      </c>
      <c r="C2" s="94"/>
      <c r="D2" s="6"/>
      <c r="E2" s="6"/>
      <c r="F2" s="6"/>
      <c r="G2" s="6"/>
      <c r="H2" s="6"/>
      <c r="I2" s="6"/>
      <c r="J2" s="5"/>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77.650000000000006" customHeight="1" thickBot="1">
      <c r="A10" s="1137"/>
      <c r="B10" s="1138"/>
      <c r="C10" s="1139" t="s">
        <v>1172</v>
      </c>
      <c r="D10" s="1140"/>
      <c r="E10" s="1140"/>
      <c r="F10" s="1140"/>
      <c r="G10" s="1140"/>
      <c r="H10" s="1140"/>
      <c r="I10" s="1140"/>
      <c r="J10" s="1140"/>
      <c r="K10" s="1141"/>
      <c r="L10" s="1135" t="s">
        <v>134</v>
      </c>
      <c r="M10" s="1136"/>
    </row>
    <row r="11" spans="1:13" ht="14.65" customHeight="1">
      <c r="A11" s="672" t="s">
        <v>485</v>
      </c>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587" t="s">
        <v>422</v>
      </c>
      <c r="I12" s="608" t="s">
        <v>480</v>
      </c>
      <c r="J12" s="104" t="s">
        <v>786</v>
      </c>
      <c r="K12" s="609" t="s">
        <v>422</v>
      </c>
      <c r="L12" s="602" t="s">
        <v>565</v>
      </c>
      <c r="M12" s="11" t="s">
        <v>566</v>
      </c>
    </row>
    <row r="13" spans="1:13" ht="38.25">
      <c r="A13" s="106" t="s">
        <v>515</v>
      </c>
      <c r="B13" s="628" t="s">
        <v>442</v>
      </c>
      <c r="C13" s="592"/>
      <c r="D13" s="382"/>
      <c r="E13" s="394"/>
      <c r="F13" s="393"/>
      <c r="G13" s="192" t="s">
        <v>186</v>
      </c>
      <c r="H13" s="1004" t="s">
        <v>435</v>
      </c>
      <c r="I13" s="888"/>
      <c r="J13" s="516" t="s">
        <v>330</v>
      </c>
      <c r="K13" s="889" t="s">
        <v>330</v>
      </c>
      <c r="L13" s="656"/>
      <c r="M13" s="24" t="s">
        <v>123</v>
      </c>
    </row>
    <row r="14" spans="1:13" ht="178.5">
      <c r="A14" s="40"/>
      <c r="B14" s="628" t="s">
        <v>202</v>
      </c>
      <c r="C14" s="592"/>
      <c r="D14" s="382"/>
      <c r="E14" s="394"/>
      <c r="F14" s="393"/>
      <c r="G14" s="192" t="s">
        <v>1146</v>
      </c>
      <c r="H14" s="900" t="s">
        <v>1145</v>
      </c>
      <c r="I14" s="890"/>
      <c r="J14" s="81" t="s">
        <v>437</v>
      </c>
      <c r="K14" s="590" t="s">
        <v>1101</v>
      </c>
      <c r="L14" s="603" t="s">
        <v>121</v>
      </c>
      <c r="M14" s="23"/>
    </row>
    <row r="15" spans="1:13" ht="38.25">
      <c r="A15" s="43"/>
      <c r="B15" s="624" t="s">
        <v>204</v>
      </c>
      <c r="C15" s="591" t="s">
        <v>330</v>
      </c>
      <c r="D15" s="517"/>
      <c r="E15" s="518"/>
      <c r="F15" s="387"/>
      <c r="G15" s="480" t="s">
        <v>330</v>
      </c>
      <c r="H15" s="745" t="s">
        <v>330</v>
      </c>
      <c r="I15" s="891"/>
      <c r="J15" s="88" t="s">
        <v>794</v>
      </c>
      <c r="K15" s="196"/>
      <c r="L15" s="658" t="s">
        <v>88</v>
      </c>
      <c r="M15" s="28"/>
    </row>
    <row r="16" spans="1:13" ht="51">
      <c r="A16" s="29" t="s">
        <v>205</v>
      </c>
      <c r="B16" s="720" t="s">
        <v>787</v>
      </c>
      <c r="C16" s="685" t="s">
        <v>330</v>
      </c>
      <c r="D16" s="408"/>
      <c r="E16" s="409"/>
      <c r="F16" s="410"/>
      <c r="G16" s="1094" t="s">
        <v>330</v>
      </c>
      <c r="H16" s="732" t="s">
        <v>330</v>
      </c>
      <c r="I16" s="892"/>
      <c r="J16" s="80" t="s">
        <v>795</v>
      </c>
      <c r="K16" s="633"/>
      <c r="L16" s="886"/>
      <c r="M16" s="56"/>
    </row>
    <row r="17" spans="1:13" ht="25.5">
      <c r="A17" s="41"/>
      <c r="B17" s="625" t="s">
        <v>57</v>
      </c>
      <c r="C17" s="592" t="s">
        <v>330</v>
      </c>
      <c r="D17" s="382"/>
      <c r="E17" s="394"/>
      <c r="F17" s="393"/>
      <c r="G17" s="910" t="s">
        <v>330</v>
      </c>
      <c r="H17" s="666" t="s">
        <v>330</v>
      </c>
      <c r="I17" s="893"/>
      <c r="J17" s="76" t="s">
        <v>795</v>
      </c>
      <c r="K17" s="198"/>
      <c r="L17" s="603" t="s">
        <v>128</v>
      </c>
      <c r="M17" s="24"/>
    </row>
    <row r="18" spans="1:13" ht="25.5">
      <c r="A18" s="40"/>
      <c r="B18" s="625" t="s">
        <v>58</v>
      </c>
      <c r="C18" s="592" t="s">
        <v>330</v>
      </c>
      <c r="D18" s="382"/>
      <c r="E18" s="394"/>
      <c r="F18" s="393"/>
      <c r="G18" s="910" t="s">
        <v>330</v>
      </c>
      <c r="H18" s="666" t="s">
        <v>330</v>
      </c>
      <c r="I18" s="893"/>
      <c r="J18" s="76" t="s">
        <v>795</v>
      </c>
      <c r="K18" s="198"/>
      <c r="L18" s="656"/>
      <c r="M18" s="24"/>
    </row>
    <row r="19" spans="1:13" ht="25.5">
      <c r="A19" s="40"/>
      <c r="B19" s="625" t="s">
        <v>59</v>
      </c>
      <c r="C19" s="592" t="s">
        <v>330</v>
      </c>
      <c r="D19" s="382"/>
      <c r="E19" s="394"/>
      <c r="F19" s="393"/>
      <c r="G19" s="910" t="s">
        <v>330</v>
      </c>
      <c r="H19" s="666" t="s">
        <v>330</v>
      </c>
      <c r="I19" s="893"/>
      <c r="J19" s="76" t="s">
        <v>795</v>
      </c>
      <c r="K19" s="198"/>
      <c r="L19" s="603" t="s">
        <v>108</v>
      </c>
      <c r="M19" s="24"/>
    </row>
    <row r="20" spans="1:13" ht="40.5" customHeight="1">
      <c r="A20" s="40"/>
      <c r="B20" s="625" t="s">
        <v>198</v>
      </c>
      <c r="C20" s="592" t="s">
        <v>330</v>
      </c>
      <c r="D20" s="382"/>
      <c r="E20" s="394"/>
      <c r="F20" s="393"/>
      <c r="G20" s="910" t="s">
        <v>330</v>
      </c>
      <c r="H20" s="666" t="s">
        <v>330</v>
      </c>
      <c r="I20" s="893"/>
      <c r="J20" s="76" t="s">
        <v>795</v>
      </c>
      <c r="K20" s="198"/>
      <c r="L20" s="603" t="s">
        <v>108</v>
      </c>
      <c r="M20" s="24"/>
    </row>
    <row r="21" spans="1:13" ht="38.25">
      <c r="A21" s="41"/>
      <c r="B21" s="625" t="s">
        <v>161</v>
      </c>
      <c r="C21" s="777"/>
      <c r="D21" s="442"/>
      <c r="E21" s="443"/>
      <c r="F21" s="444"/>
      <c r="G21" s="224" t="s">
        <v>183</v>
      </c>
      <c r="H21" s="706"/>
      <c r="I21" s="894"/>
      <c r="J21" s="76" t="s">
        <v>795</v>
      </c>
      <c r="K21" s="590"/>
      <c r="L21" s="603"/>
      <c r="M21" s="24"/>
    </row>
    <row r="22" spans="1:13">
      <c r="A22" s="41"/>
      <c r="B22" s="625" t="s">
        <v>152</v>
      </c>
      <c r="C22" s="777"/>
      <c r="D22" s="442"/>
      <c r="E22" s="443"/>
      <c r="F22" s="444"/>
      <c r="G22" s="192" t="s">
        <v>183</v>
      </c>
      <c r="H22" s="590"/>
      <c r="I22" s="663"/>
      <c r="J22" s="76" t="s">
        <v>436</v>
      </c>
      <c r="K22" s="590"/>
      <c r="L22" s="603"/>
      <c r="M22" s="24"/>
    </row>
    <row r="23" spans="1:13" ht="25.5">
      <c r="A23" s="40"/>
      <c r="B23" s="625" t="s">
        <v>788</v>
      </c>
      <c r="C23" s="775"/>
      <c r="D23" s="445"/>
      <c r="E23" s="446"/>
      <c r="F23" s="447"/>
      <c r="G23" s="192" t="s">
        <v>183</v>
      </c>
      <c r="H23" s="590"/>
      <c r="I23" s="895"/>
      <c r="J23" s="73" t="s">
        <v>436</v>
      </c>
      <c r="K23" s="717"/>
      <c r="L23" s="603"/>
      <c r="M23" s="24"/>
    </row>
    <row r="24" spans="1:13" ht="38.25">
      <c r="A24" s="1158" t="s">
        <v>276</v>
      </c>
      <c r="B24" s="623" t="s">
        <v>60</v>
      </c>
      <c r="C24" s="776"/>
      <c r="D24" s="436"/>
      <c r="E24" s="437"/>
      <c r="F24" s="438"/>
      <c r="G24" s="208" t="s">
        <v>1147</v>
      </c>
      <c r="H24" s="635"/>
      <c r="I24" s="521"/>
      <c r="J24" s="1093" t="s">
        <v>330</v>
      </c>
      <c r="K24" s="732" t="s">
        <v>330</v>
      </c>
      <c r="L24" s="655" t="s">
        <v>130</v>
      </c>
      <c r="M24" s="27"/>
    </row>
    <row r="25" spans="1:13" ht="63.75">
      <c r="A25" s="1159"/>
      <c r="B25" s="625" t="s">
        <v>789</v>
      </c>
      <c r="C25" s="975" t="s">
        <v>330</v>
      </c>
      <c r="D25" s="445"/>
      <c r="E25" s="446"/>
      <c r="F25" s="519">
        <f>1747*1.7</f>
        <v>2969.9</v>
      </c>
      <c r="G25" s="209" t="s">
        <v>791</v>
      </c>
      <c r="H25" s="198" t="s">
        <v>792</v>
      </c>
      <c r="I25" s="616"/>
      <c r="J25" s="76" t="s">
        <v>796</v>
      </c>
      <c r="K25" s="896"/>
      <c r="L25" s="658" t="s">
        <v>797</v>
      </c>
      <c r="M25" s="28" t="s">
        <v>1100</v>
      </c>
    </row>
    <row r="26" spans="1:13" ht="70.150000000000006" customHeight="1">
      <c r="A26" s="18"/>
      <c r="B26" s="898" t="s">
        <v>206</v>
      </c>
      <c r="C26" s="777"/>
      <c r="D26" s="442"/>
      <c r="E26" s="443"/>
      <c r="F26" s="520"/>
      <c r="G26" s="130" t="s">
        <v>186</v>
      </c>
      <c r="H26" s="198"/>
      <c r="I26" s="616"/>
      <c r="J26" s="478" t="s">
        <v>330</v>
      </c>
      <c r="K26" s="666" t="s">
        <v>330</v>
      </c>
      <c r="L26" s="101" t="s">
        <v>89</v>
      </c>
      <c r="M26" s="62" t="s">
        <v>1099</v>
      </c>
    </row>
    <row r="27" spans="1:13" ht="77.25" thickBot="1">
      <c r="A27" s="17"/>
      <c r="B27" s="899" t="s">
        <v>790</v>
      </c>
      <c r="C27" s="807"/>
      <c r="D27" s="597"/>
      <c r="E27" s="598"/>
      <c r="F27" s="901">
        <f>4072*1.7</f>
        <v>6922.4</v>
      </c>
      <c r="G27" s="902" t="s">
        <v>438</v>
      </c>
      <c r="H27" s="903" t="s">
        <v>793</v>
      </c>
      <c r="I27" s="897"/>
      <c r="J27" s="928" t="s">
        <v>330</v>
      </c>
      <c r="K27" s="929" t="s">
        <v>330</v>
      </c>
      <c r="L27" s="887"/>
      <c r="M27" s="65" t="s">
        <v>1098</v>
      </c>
    </row>
    <row r="28" spans="1:13">
      <c r="A28" s="461"/>
      <c r="B28" s="117"/>
      <c r="D28" s="874">
        <f>SUM(D13:D27)</f>
        <v>0</v>
      </c>
      <c r="E28" s="875">
        <f>SUM(E13:E27)</f>
        <v>0</v>
      </c>
      <c r="F28" s="876">
        <f>SUM(F13:F27)</f>
        <v>9892.2999999999993</v>
      </c>
      <c r="G28" s="113"/>
      <c r="H28" s="113"/>
      <c r="I28" s="113"/>
      <c r="J28" s="426"/>
      <c r="K28" s="426"/>
      <c r="L28" s="462"/>
      <c r="M28" s="463"/>
    </row>
    <row r="29" spans="1:13" ht="15.75" thickBot="1">
      <c r="A29" s="464"/>
      <c r="B29" s="113"/>
      <c r="D29" s="203" t="s">
        <v>360</v>
      </c>
      <c r="E29" s="204" t="s">
        <v>361</v>
      </c>
      <c r="F29" s="205" t="s">
        <v>362</v>
      </c>
      <c r="G29" s="113"/>
      <c r="H29" s="113"/>
      <c r="I29" s="113"/>
      <c r="J29" s="426"/>
      <c r="K29" s="426"/>
      <c r="L29" s="465"/>
      <c r="M29" s="466"/>
    </row>
    <row r="30" spans="1:13" ht="14.65" customHeight="1">
      <c r="A30" s="672" t="s">
        <v>273</v>
      </c>
      <c r="B30" s="673"/>
      <c r="C30" s="1142" t="s">
        <v>486</v>
      </c>
      <c r="D30" s="1143"/>
      <c r="E30" s="1143"/>
      <c r="F30" s="1143"/>
      <c r="G30" s="1143"/>
      <c r="H30" s="1144"/>
      <c r="I30" s="1142" t="s">
        <v>479</v>
      </c>
      <c r="J30" s="1145"/>
      <c r="K30" s="1146"/>
      <c r="L30" s="564"/>
      <c r="M30" s="561"/>
    </row>
    <row r="31" spans="1:13" ht="25.5">
      <c r="A31" s="138" t="s">
        <v>131</v>
      </c>
      <c r="B31" s="575" t="s">
        <v>117</v>
      </c>
      <c r="C31" s="586" t="s">
        <v>480</v>
      </c>
      <c r="D31" s="570" t="s">
        <v>360</v>
      </c>
      <c r="E31" s="571" t="s">
        <v>361</v>
      </c>
      <c r="F31" s="572" t="s">
        <v>362</v>
      </c>
      <c r="G31" s="573" t="s">
        <v>599</v>
      </c>
      <c r="H31" s="587" t="s">
        <v>422</v>
      </c>
      <c r="I31" s="608" t="s">
        <v>480</v>
      </c>
      <c r="J31" s="104" t="s">
        <v>523</v>
      </c>
      <c r="K31" s="609" t="s">
        <v>422</v>
      </c>
      <c r="L31" s="602" t="s">
        <v>565</v>
      </c>
      <c r="M31" s="11" t="s">
        <v>566</v>
      </c>
    </row>
    <row r="32" spans="1:13" ht="192.4" customHeight="1">
      <c r="A32" s="29" t="s">
        <v>274</v>
      </c>
      <c r="B32" s="725" t="s">
        <v>443</v>
      </c>
      <c r="C32" s="776"/>
      <c r="D32" s="507"/>
      <c r="E32" s="508"/>
      <c r="F32" s="509"/>
      <c r="G32" s="208" t="s">
        <v>1012</v>
      </c>
      <c r="H32" s="635" t="s">
        <v>1104</v>
      </c>
      <c r="I32" s="521"/>
      <c r="J32" s="79" t="s">
        <v>408</v>
      </c>
      <c r="K32" s="635"/>
      <c r="L32" s="655"/>
      <c r="M32" s="22"/>
    </row>
    <row r="33" spans="1:13" ht="258" customHeight="1">
      <c r="A33" s="41"/>
      <c r="B33" s="628" t="s">
        <v>444</v>
      </c>
      <c r="C33" s="777"/>
      <c r="D33" s="442"/>
      <c r="E33" s="443"/>
      <c r="F33" s="444"/>
      <c r="G33" s="192" t="s">
        <v>1011</v>
      </c>
      <c r="H33" s="590" t="s">
        <v>1105</v>
      </c>
      <c r="I33" s="522"/>
      <c r="J33" s="81" t="s">
        <v>408</v>
      </c>
      <c r="K33" s="590"/>
      <c r="L33" s="656"/>
      <c r="M33" s="24"/>
    </row>
    <row r="34" spans="1:13" ht="216.75">
      <c r="A34" s="41"/>
      <c r="B34" s="625" t="s">
        <v>445</v>
      </c>
      <c r="C34" s="777"/>
      <c r="D34" s="442"/>
      <c r="E34" s="443"/>
      <c r="F34" s="444"/>
      <c r="G34" s="192" t="s">
        <v>1012</v>
      </c>
      <c r="H34" s="590" t="s">
        <v>1104</v>
      </c>
      <c r="I34" s="522"/>
      <c r="J34" s="81" t="s">
        <v>408</v>
      </c>
      <c r="K34" s="590"/>
      <c r="L34" s="603"/>
      <c r="M34" s="50"/>
    </row>
    <row r="35" spans="1:13" ht="255">
      <c r="A35" s="41"/>
      <c r="B35" s="628" t="s">
        <v>446</v>
      </c>
      <c r="C35" s="777"/>
      <c r="D35" s="442"/>
      <c r="E35" s="443"/>
      <c r="F35" s="444"/>
      <c r="G35" s="192" t="s">
        <v>1012</v>
      </c>
      <c r="H35" s="590" t="s">
        <v>1106</v>
      </c>
      <c r="I35" s="522"/>
      <c r="J35" s="81" t="s">
        <v>408</v>
      </c>
      <c r="K35" s="590"/>
      <c r="L35" s="603"/>
      <c r="M35" s="50"/>
    </row>
    <row r="36" spans="1:13" ht="255">
      <c r="A36" s="66" t="s">
        <v>72</v>
      </c>
      <c r="B36" s="677" t="s">
        <v>441</v>
      </c>
      <c r="C36" s="776"/>
      <c r="D36" s="436"/>
      <c r="E36" s="437"/>
      <c r="F36" s="438"/>
      <c r="G36" s="200" t="s">
        <v>1102</v>
      </c>
      <c r="H36" s="682" t="s">
        <v>1103</v>
      </c>
      <c r="I36" s="278"/>
      <c r="J36" s="91" t="s">
        <v>408</v>
      </c>
      <c r="K36" s="682"/>
      <c r="L36" s="905" t="s">
        <v>800</v>
      </c>
      <c r="M36" s="34"/>
    </row>
    <row r="37" spans="1:13" ht="76.5">
      <c r="A37" s="67"/>
      <c r="B37" s="721" t="s">
        <v>74</v>
      </c>
      <c r="C37" s="777"/>
      <c r="D37" s="442"/>
      <c r="E37" s="443"/>
      <c r="F37" s="444"/>
      <c r="G37" s="202" t="s">
        <v>208</v>
      </c>
      <c r="H37" s="642" t="s">
        <v>798</v>
      </c>
      <c r="I37" s="279"/>
      <c r="J37" s="92" t="s">
        <v>209</v>
      </c>
      <c r="K37" s="642"/>
      <c r="L37" s="906" t="s">
        <v>801</v>
      </c>
      <c r="M37" s="34"/>
    </row>
    <row r="38" spans="1:13" ht="76.5">
      <c r="A38" s="67"/>
      <c r="B38" s="631" t="s">
        <v>75</v>
      </c>
      <c r="C38" s="777"/>
      <c r="D38" s="442"/>
      <c r="E38" s="443"/>
      <c r="F38" s="444"/>
      <c r="G38" s="202" t="s">
        <v>210</v>
      </c>
      <c r="H38" s="642" t="s">
        <v>798</v>
      </c>
      <c r="I38" s="279"/>
      <c r="J38" s="92" t="s">
        <v>408</v>
      </c>
      <c r="K38" s="642"/>
      <c r="L38" s="905" t="s">
        <v>802</v>
      </c>
      <c r="M38" s="34"/>
    </row>
    <row r="39" spans="1:13" ht="73.150000000000006" customHeight="1">
      <c r="A39" s="68"/>
      <c r="B39" s="632" t="s">
        <v>76</v>
      </c>
      <c r="C39" s="775"/>
      <c r="D39" s="439"/>
      <c r="E39" s="440"/>
      <c r="F39" s="441"/>
      <c r="G39" s="201" t="s">
        <v>211</v>
      </c>
      <c r="H39" s="643" t="s">
        <v>798</v>
      </c>
      <c r="I39" s="280"/>
      <c r="J39" s="93" t="s">
        <v>408</v>
      </c>
      <c r="K39" s="643"/>
      <c r="L39" s="905" t="s">
        <v>803</v>
      </c>
      <c r="M39" s="34"/>
    </row>
    <row r="40" spans="1:13" ht="25.5">
      <c r="A40" s="29" t="s">
        <v>515</v>
      </c>
      <c r="B40" s="725" t="s">
        <v>200</v>
      </c>
      <c r="C40" s="805"/>
      <c r="D40" s="242"/>
      <c r="E40" s="243"/>
      <c r="F40" s="244"/>
      <c r="G40" s="521" t="s">
        <v>517</v>
      </c>
      <c r="H40" s="635"/>
      <c r="I40" s="981"/>
      <c r="J40" s="124" t="s">
        <v>408</v>
      </c>
      <c r="K40" s="635"/>
      <c r="L40" s="968"/>
      <c r="M40" s="132"/>
    </row>
    <row r="41" spans="1:13" ht="25.5">
      <c r="A41" s="41"/>
      <c r="B41" s="628" t="s">
        <v>201</v>
      </c>
      <c r="C41" s="806"/>
      <c r="D41" s="253"/>
      <c r="E41" s="254"/>
      <c r="F41" s="255"/>
      <c r="G41" s="522" t="s">
        <v>517</v>
      </c>
      <c r="H41" s="590"/>
      <c r="I41" s="982"/>
      <c r="J41" s="92" t="s">
        <v>408</v>
      </c>
      <c r="K41" s="590"/>
      <c r="L41" s="969"/>
      <c r="M41" s="133"/>
    </row>
    <row r="42" spans="1:13" ht="26.25" thickBot="1">
      <c r="A42" s="49"/>
      <c r="B42" s="629" t="s">
        <v>203</v>
      </c>
      <c r="C42" s="781"/>
      <c r="D42" s="247"/>
      <c r="E42" s="256"/>
      <c r="F42" s="257"/>
      <c r="G42" s="661" t="s">
        <v>517</v>
      </c>
      <c r="H42" s="634"/>
      <c r="I42" s="781"/>
      <c r="J42" s="698" t="s">
        <v>516</v>
      </c>
      <c r="K42" s="634"/>
      <c r="L42" s="970"/>
      <c r="M42" s="290"/>
    </row>
    <row r="43" spans="1:13" ht="126" customHeight="1">
      <c r="A43" s="136" t="s">
        <v>326</v>
      </c>
      <c r="B43" s="1018" t="s">
        <v>77</v>
      </c>
      <c r="C43" s="921"/>
      <c r="D43" s="507"/>
      <c r="E43" s="508"/>
      <c r="F43" s="509"/>
      <c r="G43" s="228" t="s">
        <v>211</v>
      </c>
      <c r="H43" s="904" t="s">
        <v>440</v>
      </c>
      <c r="I43" s="908"/>
      <c r="J43" s="124" t="s">
        <v>408</v>
      </c>
      <c r="K43" s="686"/>
      <c r="L43" s="1019" t="s">
        <v>805</v>
      </c>
      <c r="M43" s="34"/>
    </row>
    <row r="44" spans="1:13" ht="51">
      <c r="A44" s="67"/>
      <c r="B44" s="631" t="s">
        <v>78</v>
      </c>
      <c r="C44" s="777"/>
      <c r="D44" s="442"/>
      <c r="E44" s="443"/>
      <c r="F44" s="444"/>
      <c r="G44" s="202" t="s">
        <v>211</v>
      </c>
      <c r="H44" s="642"/>
      <c r="I44" s="279"/>
      <c r="J44" s="92" t="s">
        <v>408</v>
      </c>
      <c r="K44" s="642"/>
      <c r="L44" s="905" t="s">
        <v>806</v>
      </c>
      <c r="M44" s="34"/>
    </row>
    <row r="45" spans="1:13" ht="39" thickBot="1">
      <c r="A45" s="68"/>
      <c r="B45" s="679" t="s">
        <v>79</v>
      </c>
      <c r="C45" s="807"/>
      <c r="D45" s="597"/>
      <c r="E45" s="598"/>
      <c r="F45" s="599"/>
      <c r="G45" s="687" t="s">
        <v>208</v>
      </c>
      <c r="H45" s="688"/>
      <c r="I45" s="697"/>
      <c r="J45" s="698" t="s">
        <v>799</v>
      </c>
      <c r="K45" s="688"/>
      <c r="L45" s="907" t="s">
        <v>212</v>
      </c>
      <c r="M45" s="34"/>
    </row>
    <row r="46" spans="1:13">
      <c r="D46" s="874">
        <f>SUM(D32:D45)</f>
        <v>0</v>
      </c>
      <c r="E46" s="875">
        <f>SUM(E32:E45)</f>
        <v>0</v>
      </c>
      <c r="F46" s="876">
        <f>SUM(F32:F45)</f>
        <v>0</v>
      </c>
    </row>
    <row r="47" spans="1:13" ht="15.75" thickBot="1">
      <c r="D47" s="203" t="s">
        <v>360</v>
      </c>
      <c r="E47" s="204" t="s">
        <v>361</v>
      </c>
      <c r="F47" s="205" t="s">
        <v>362</v>
      </c>
    </row>
    <row r="48" spans="1:13" s="1059" customFormat="1" ht="12.75">
      <c r="A48" s="1062" t="s">
        <v>533</v>
      </c>
      <c r="B48" s="1062"/>
      <c r="C48" s="1060"/>
      <c r="D48" s="1060"/>
      <c r="E48" s="1060"/>
      <c r="F48" s="1060"/>
      <c r="G48" s="1062"/>
      <c r="H48" s="1062"/>
      <c r="I48" s="1062"/>
      <c r="J48" s="1062"/>
      <c r="K48" s="1062"/>
      <c r="L48" s="1062"/>
      <c r="M48" s="1062"/>
    </row>
    <row r="49" spans="1:13" s="1059" customFormat="1" ht="12.75">
      <c r="A49" s="1062" t="s">
        <v>668</v>
      </c>
      <c r="B49" s="1062"/>
      <c r="C49" s="1060"/>
      <c r="D49" s="1060"/>
      <c r="E49" s="1060"/>
      <c r="F49" s="1060"/>
      <c r="G49" s="1062"/>
      <c r="H49" s="1062"/>
      <c r="I49" s="1062"/>
      <c r="J49" s="1062"/>
      <c r="K49" s="1062"/>
      <c r="L49" s="1062"/>
      <c r="M49" s="1062"/>
    </row>
    <row r="50" spans="1:13" s="1059" customFormat="1" ht="12.75">
      <c r="A50" s="1062" t="s">
        <v>535</v>
      </c>
      <c r="B50" s="1062"/>
      <c r="C50" s="1060"/>
      <c r="D50" s="1060"/>
      <c r="E50" s="1060"/>
      <c r="F50" s="1060"/>
      <c r="G50" s="1062"/>
      <c r="H50" s="1062"/>
      <c r="I50" s="1062"/>
      <c r="J50" s="1062"/>
      <c r="K50" s="1062"/>
      <c r="L50" s="1062"/>
      <c r="M50" s="1062"/>
    </row>
    <row r="51" spans="1:13" s="1059" customFormat="1" ht="12.75">
      <c r="A51" s="1062" t="s">
        <v>534</v>
      </c>
      <c r="B51" s="1062"/>
      <c r="C51" s="1060"/>
      <c r="D51" s="1060"/>
      <c r="E51" s="1060"/>
      <c r="F51" s="1060"/>
      <c r="G51" s="1062"/>
      <c r="H51" s="1062"/>
      <c r="I51" s="1062"/>
      <c r="J51" s="1062"/>
      <c r="K51" s="1062"/>
      <c r="L51" s="1062"/>
      <c r="M51" s="1062"/>
    </row>
    <row r="52" spans="1:13" s="1059" customFormat="1" ht="12.75">
      <c r="A52" s="1062" t="s">
        <v>804</v>
      </c>
      <c r="B52" s="1062"/>
      <c r="C52" s="1060"/>
      <c r="D52" s="1060"/>
      <c r="E52" s="1060"/>
      <c r="F52" s="1060"/>
      <c r="G52" s="1062"/>
      <c r="H52" s="1062"/>
      <c r="I52" s="1062"/>
      <c r="J52" s="1062"/>
      <c r="K52" s="1062"/>
      <c r="L52" s="1062"/>
      <c r="M52" s="1062"/>
    </row>
  </sheetData>
  <mergeCells count="10">
    <mergeCell ref="C30:H30"/>
    <mergeCell ref="I30:K30"/>
    <mergeCell ref="A24:A25"/>
    <mergeCell ref="L1:M1"/>
    <mergeCell ref="A1:B1"/>
    <mergeCell ref="A10:B10"/>
    <mergeCell ref="C10:K10"/>
    <mergeCell ref="L10:M10"/>
    <mergeCell ref="C11:H11"/>
    <mergeCell ref="I11:K11"/>
  </mergeCells>
  <hyperlinks>
    <hyperlink ref="H13" r:id="rId1" display="https://atlas.id.com.au/perth" xr:uid="{00F10960-CBBE-4791-9AF4-F1E2DB24EEDC}"/>
    <hyperlink ref="H43" r:id="rId2" display="https://universaldesignaustralia.net.au/universal-design-new-york/" xr:uid="{BB110B9E-CFAF-41A7-B325-34B8A4C29CF9}"/>
  </hyperlinks>
  <pageMargins left="0.7" right="0.7" top="0.75" bottom="0.75" header="0.3" footer="0.3"/>
  <pageSetup paperSize="9" scale="49" orientation="landscape" horizontalDpi="4294967293" verticalDpi="0"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EF91-F866-40B9-A924-51C257CD3A2B}">
  <dimension ref="A1:G8"/>
  <sheetViews>
    <sheetView zoomScale="75" zoomScaleNormal="75" workbookViewId="0">
      <selection activeCell="G1" sqref="G1"/>
    </sheetView>
  </sheetViews>
  <sheetFormatPr defaultColWidth="8.7109375" defaultRowHeight="15"/>
  <cols>
    <col min="1" max="1" width="45.7109375" bestFit="1" customWidth="1"/>
    <col min="4" max="4" width="9.7109375" bestFit="1" customWidth="1"/>
  </cols>
  <sheetData>
    <row r="1" spans="1:7" ht="21">
      <c r="A1" s="213" t="s">
        <v>496</v>
      </c>
      <c r="B1" s="214"/>
      <c r="C1" s="214"/>
      <c r="D1" s="214"/>
      <c r="G1" s="973" t="s">
        <v>497</v>
      </c>
    </row>
    <row r="2" spans="1:7" ht="21">
      <c r="A2" s="214"/>
      <c r="B2" s="472" t="s">
        <v>367</v>
      </c>
      <c r="C2" s="472" t="s">
        <v>368</v>
      </c>
      <c r="D2" s="472" t="s">
        <v>369</v>
      </c>
    </row>
    <row r="3" spans="1:7" ht="21">
      <c r="A3" s="222" t="s">
        <v>807</v>
      </c>
      <c r="B3" s="473">
        <f>'D9 Urban Amenity Worksheet'!D28</f>
        <v>0</v>
      </c>
      <c r="C3" s="473">
        <f>'D9 Urban Amenity Worksheet'!E28</f>
        <v>0</v>
      </c>
      <c r="D3" s="473">
        <f>'D9 Urban Amenity Worksheet'!F28</f>
        <v>9892.2999999999993</v>
      </c>
    </row>
    <row r="4" spans="1:7" ht="21">
      <c r="A4" s="222" t="s">
        <v>413</v>
      </c>
      <c r="B4" s="473">
        <f>'D9 Urban Amenity Worksheet'!D46</f>
        <v>0</v>
      </c>
      <c r="C4" s="473">
        <f>'D9 Urban Amenity Worksheet'!E46</f>
        <v>0</v>
      </c>
      <c r="D4" s="473">
        <f>'D9 Urban Amenity Worksheet'!F46</f>
        <v>0</v>
      </c>
    </row>
    <row r="5" spans="1:7" ht="21">
      <c r="A5" s="214" t="s">
        <v>371</v>
      </c>
      <c r="B5" s="214"/>
      <c r="C5" s="214"/>
      <c r="D5" s="214"/>
    </row>
    <row r="6" spans="1:7" ht="21">
      <c r="A6" s="214" t="s">
        <v>549</v>
      </c>
      <c r="B6" s="214"/>
      <c r="C6" s="214"/>
      <c r="D6" s="214"/>
    </row>
    <row r="7" spans="1:7" ht="21">
      <c r="A7" s="214" t="s">
        <v>550</v>
      </c>
      <c r="B7" s="214"/>
      <c r="C7" s="214"/>
      <c r="D7" s="214"/>
    </row>
    <row r="8" spans="1:7" ht="21">
      <c r="A8" s="214" t="s">
        <v>551</v>
      </c>
      <c r="B8" s="214"/>
      <c r="C8" s="214"/>
      <c r="D8" s="214"/>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F2E5-8994-4C16-AD29-3FD9F4C0246E}">
  <dimension ref="A1:K12"/>
  <sheetViews>
    <sheetView zoomScaleNormal="100" workbookViewId="0">
      <selection activeCell="G1" sqref="G1"/>
    </sheetView>
  </sheetViews>
  <sheetFormatPr defaultColWidth="8.7109375" defaultRowHeight="15"/>
  <sheetData>
    <row r="1" spans="1:11" ht="18.75">
      <c r="A1" s="119" t="s">
        <v>281</v>
      </c>
      <c r="G1" s="168"/>
      <c r="H1" s="121"/>
      <c r="I1" s="121"/>
    </row>
    <row r="10" spans="1:11" ht="141.4" customHeight="1">
      <c r="A10" s="1160" t="s">
        <v>808</v>
      </c>
      <c r="B10" s="1161"/>
      <c r="C10" s="1161"/>
      <c r="D10" s="1161"/>
      <c r="E10" s="1161"/>
      <c r="F10" s="1161"/>
      <c r="G10" s="1161"/>
      <c r="H10" s="1161"/>
      <c r="I10" s="1161"/>
      <c r="J10" s="1161"/>
      <c r="K10" s="1161"/>
    </row>
    <row r="12" spans="1:11">
      <c r="A12" t="s">
        <v>809</v>
      </c>
    </row>
  </sheetData>
  <mergeCells count="1">
    <mergeCell ref="A10:K10"/>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2F8E4-E69F-46E4-8501-C9742F01B14F}">
  <sheetPr>
    <pageSetUpPr fitToPage="1"/>
  </sheetPr>
  <dimension ref="A1:K25"/>
  <sheetViews>
    <sheetView zoomScale="75" zoomScaleNormal="75" workbookViewId="0">
      <selection activeCell="K1" sqref="K1"/>
    </sheetView>
  </sheetViews>
  <sheetFormatPr defaultColWidth="8.7109375" defaultRowHeight="15"/>
  <cols>
    <col min="1" max="1" width="21.140625" customWidth="1"/>
    <col min="2" max="2" width="20" style="52" customWidth="1"/>
    <col min="3" max="3" width="10.7109375" customWidth="1"/>
    <col min="4" max="6" width="6.7109375" customWidth="1"/>
    <col min="7" max="8" width="28.7109375" customWidth="1"/>
    <col min="9" max="9" width="10.7109375" customWidth="1"/>
    <col min="10" max="11" width="28.7109375" customWidth="1"/>
  </cols>
  <sheetData>
    <row r="1" spans="1:11" ht="21">
      <c r="A1" s="32" t="s">
        <v>277</v>
      </c>
      <c r="B1"/>
      <c r="G1" s="973" t="s">
        <v>497</v>
      </c>
    </row>
    <row r="2" spans="1:11" ht="15" customHeight="1">
      <c r="A2" s="291" t="s">
        <v>333</v>
      </c>
      <c r="B2" t="s">
        <v>282</v>
      </c>
      <c r="C2" s="94"/>
      <c r="D2" s="6"/>
      <c r="E2" s="6"/>
      <c r="F2" s="6"/>
      <c r="G2" s="6"/>
      <c r="H2" s="6"/>
      <c r="I2" s="6"/>
      <c r="J2" s="5"/>
      <c r="K2" s="6"/>
    </row>
    <row r="3" spans="1:11" ht="15" customHeight="1">
      <c r="A3" s="501" t="s">
        <v>334</v>
      </c>
      <c r="B3" t="s">
        <v>308</v>
      </c>
      <c r="C3" s="94"/>
      <c r="D3" s="6"/>
      <c r="E3" s="6"/>
      <c r="F3" s="6"/>
      <c r="G3" s="6"/>
      <c r="H3" s="6"/>
      <c r="I3" s="6"/>
      <c r="J3" s="6"/>
      <c r="K3" s="6"/>
    </row>
    <row r="4" spans="1:11" ht="15" customHeight="1">
      <c r="A4" s="292" t="s">
        <v>520</v>
      </c>
      <c r="B4" t="s">
        <v>521</v>
      </c>
      <c r="C4" s="94"/>
      <c r="D4" s="6"/>
      <c r="E4" s="6"/>
      <c r="F4" s="6"/>
      <c r="G4" s="6"/>
      <c r="H4" s="6"/>
      <c r="I4" s="6"/>
      <c r="J4" s="6"/>
      <c r="K4" s="6"/>
    </row>
    <row r="5" spans="1:11" ht="15" customHeight="1">
      <c r="A5" s="622" t="s">
        <v>487</v>
      </c>
      <c r="B5"/>
      <c r="C5" s="94"/>
      <c r="D5" s="6"/>
      <c r="E5" s="6"/>
      <c r="F5" s="6"/>
      <c r="G5" s="6"/>
      <c r="H5" s="6"/>
      <c r="I5" s="6"/>
      <c r="J5" s="6"/>
      <c r="K5" s="6"/>
    </row>
    <row r="6" spans="1:11">
      <c r="A6" s="293"/>
      <c r="B6" s="35" t="s">
        <v>136</v>
      </c>
      <c r="C6" s="6"/>
      <c r="D6" s="6"/>
      <c r="E6" s="6"/>
      <c r="F6" s="6"/>
      <c r="G6" s="6"/>
      <c r="H6" s="35"/>
      <c r="I6" s="35"/>
      <c r="J6" s="6"/>
      <c r="K6" s="6"/>
    </row>
    <row r="7" spans="1:11">
      <c r="A7" s="294"/>
      <c r="B7" s="35" t="s">
        <v>329</v>
      </c>
      <c r="C7" s="6"/>
      <c r="D7" s="6"/>
      <c r="E7" s="6"/>
      <c r="F7" s="6"/>
      <c r="G7" s="6"/>
      <c r="H7" s="35"/>
      <c r="I7" s="35"/>
      <c r="J7" s="6"/>
      <c r="K7" s="6"/>
    </row>
    <row r="8" spans="1:11">
      <c r="A8" s="295"/>
      <c r="B8" s="35" t="s">
        <v>380</v>
      </c>
      <c r="C8" s="6"/>
      <c r="D8" s="6"/>
      <c r="E8" s="6"/>
      <c r="F8" s="6"/>
      <c r="G8" s="6"/>
      <c r="H8" s="35"/>
      <c r="I8" s="35"/>
      <c r="J8" s="6"/>
      <c r="K8" s="6"/>
    </row>
    <row r="9" spans="1:11">
      <c r="A9" s="296" t="s">
        <v>391</v>
      </c>
      <c r="B9" s="35" t="s">
        <v>392</v>
      </c>
      <c r="C9" s="6"/>
      <c r="D9" s="6"/>
      <c r="E9" s="6"/>
      <c r="F9" s="6"/>
      <c r="G9" s="6"/>
      <c r="H9" s="35"/>
      <c r="I9" s="35"/>
      <c r="J9" s="6"/>
      <c r="K9" s="6"/>
    </row>
    <row r="10" spans="1:11" ht="77.650000000000006" customHeight="1" thickBot="1">
      <c r="A10" s="1162"/>
      <c r="B10" s="1163"/>
      <c r="C10" s="1139" t="s">
        <v>1172</v>
      </c>
      <c r="D10" s="1140"/>
      <c r="E10" s="1140"/>
      <c r="F10" s="1140"/>
      <c r="G10" s="1140"/>
      <c r="H10" s="1140"/>
      <c r="I10" s="1140"/>
      <c r="J10" s="1140"/>
      <c r="K10" s="1141"/>
    </row>
    <row r="11" spans="1:11" ht="14.65" customHeight="1">
      <c r="A11" s="672"/>
      <c r="B11" s="972"/>
      <c r="C11" s="1142" t="s">
        <v>486</v>
      </c>
      <c r="D11" s="1143"/>
      <c r="E11" s="1143"/>
      <c r="F11" s="1143"/>
      <c r="G11" s="1143"/>
      <c r="H11" s="1144"/>
      <c r="I11" s="1142" t="s">
        <v>479</v>
      </c>
      <c r="J11" s="1145"/>
      <c r="K11" s="1146"/>
    </row>
    <row r="12" spans="1:11" ht="26.25" thickBot="1">
      <c r="A12" s="138" t="s">
        <v>131</v>
      </c>
      <c r="B12" s="575" t="s">
        <v>117</v>
      </c>
      <c r="C12" s="586" t="s">
        <v>480</v>
      </c>
      <c r="D12" s="570" t="s">
        <v>360</v>
      </c>
      <c r="E12" s="571" t="s">
        <v>361</v>
      </c>
      <c r="F12" s="572" t="s">
        <v>362</v>
      </c>
      <c r="G12" s="573" t="s">
        <v>810</v>
      </c>
      <c r="H12" s="587" t="s">
        <v>422</v>
      </c>
      <c r="I12" s="608" t="s">
        <v>480</v>
      </c>
      <c r="J12" s="104" t="s">
        <v>811</v>
      </c>
      <c r="K12" s="609" t="s">
        <v>422</v>
      </c>
    </row>
    <row r="13" spans="1:11" ht="127.5">
      <c r="A13" s="537" t="s">
        <v>321</v>
      </c>
      <c r="B13" s="675" t="s">
        <v>812</v>
      </c>
      <c r="C13" s="544"/>
      <c r="D13" s="526"/>
      <c r="E13" s="527"/>
      <c r="F13" s="528"/>
      <c r="G13" s="534" t="s">
        <v>375</v>
      </c>
      <c r="H13" s="778"/>
      <c r="I13" s="534"/>
      <c r="J13" s="91" t="s">
        <v>821</v>
      </c>
      <c r="K13" s="682" t="s">
        <v>537</v>
      </c>
    </row>
    <row r="14" spans="1:11" ht="204">
      <c r="A14" s="523"/>
      <c r="B14" s="700" t="s">
        <v>813</v>
      </c>
      <c r="C14" s="529"/>
      <c r="D14" s="529"/>
      <c r="E14" s="525"/>
      <c r="F14" s="530"/>
      <c r="G14" s="535" t="s">
        <v>375</v>
      </c>
      <c r="H14" s="884"/>
      <c r="I14" s="535"/>
      <c r="J14" s="91" t="s">
        <v>822</v>
      </c>
      <c r="K14" s="642" t="s">
        <v>932</v>
      </c>
    </row>
    <row r="15" spans="1:11" ht="178.5">
      <c r="A15" s="523"/>
      <c r="B15" s="700" t="s">
        <v>814</v>
      </c>
      <c r="C15" s="529"/>
      <c r="D15" s="529"/>
      <c r="E15" s="525"/>
      <c r="F15" s="530"/>
      <c r="G15" s="535" t="s">
        <v>375</v>
      </c>
      <c r="H15" s="884"/>
      <c r="I15" s="535"/>
      <c r="J15" s="91" t="s">
        <v>822</v>
      </c>
      <c r="K15" s="642" t="s">
        <v>933</v>
      </c>
    </row>
    <row r="16" spans="1:11" ht="63.75">
      <c r="A16" s="524"/>
      <c r="B16" s="700" t="s">
        <v>815</v>
      </c>
      <c r="C16" s="529"/>
      <c r="D16" s="529"/>
      <c r="E16" s="525"/>
      <c r="F16" s="530"/>
      <c r="G16" s="535" t="s">
        <v>375</v>
      </c>
      <c r="H16" s="884"/>
      <c r="I16" s="535"/>
      <c r="J16" s="91" t="s">
        <v>822</v>
      </c>
      <c r="K16" s="642"/>
    </row>
    <row r="17" spans="1:11" ht="63.75">
      <c r="A17" s="523"/>
      <c r="B17" s="883" t="s">
        <v>816</v>
      </c>
      <c r="C17" s="529"/>
      <c r="D17" s="529"/>
      <c r="E17" s="525"/>
      <c r="F17" s="530"/>
      <c r="G17" s="535" t="s">
        <v>375</v>
      </c>
      <c r="H17" s="884"/>
      <c r="I17" s="535"/>
      <c r="J17" s="91" t="s">
        <v>822</v>
      </c>
      <c r="K17" s="642"/>
    </row>
    <row r="18" spans="1:11" ht="229.5">
      <c r="A18" s="523"/>
      <c r="B18" s="631" t="s">
        <v>817</v>
      </c>
      <c r="C18" s="529"/>
      <c r="D18" s="529"/>
      <c r="E18" s="525"/>
      <c r="F18" s="530"/>
      <c r="G18" s="535" t="s">
        <v>375</v>
      </c>
      <c r="H18" s="884"/>
      <c r="I18" s="535"/>
      <c r="J18" s="91" t="s">
        <v>822</v>
      </c>
      <c r="K18" s="642" t="s">
        <v>823</v>
      </c>
    </row>
    <row r="19" spans="1:11" ht="63.75">
      <c r="A19" s="523"/>
      <c r="B19" s="883" t="s">
        <v>818</v>
      </c>
      <c r="C19" s="529"/>
      <c r="D19" s="529"/>
      <c r="E19" s="525"/>
      <c r="F19" s="530"/>
      <c r="G19" s="535" t="s">
        <v>375</v>
      </c>
      <c r="H19" s="884"/>
      <c r="I19" s="535"/>
      <c r="J19" s="91" t="s">
        <v>822</v>
      </c>
      <c r="K19" s="642"/>
    </row>
    <row r="20" spans="1:11" ht="89.25">
      <c r="A20" s="523"/>
      <c r="B20" s="883" t="s">
        <v>819</v>
      </c>
      <c r="C20" s="529"/>
      <c r="D20" s="529"/>
      <c r="E20" s="525"/>
      <c r="F20" s="530"/>
      <c r="G20" s="535" t="s">
        <v>375</v>
      </c>
      <c r="H20" s="884"/>
      <c r="I20" s="535"/>
      <c r="J20" s="91" t="s">
        <v>822</v>
      </c>
      <c r="K20" s="642" t="s">
        <v>824</v>
      </c>
    </row>
    <row r="21" spans="1:11" ht="64.5" thickBot="1">
      <c r="A21" s="167"/>
      <c r="B21" s="676" t="s">
        <v>820</v>
      </c>
      <c r="C21" s="531"/>
      <c r="D21" s="531"/>
      <c r="E21" s="532"/>
      <c r="F21" s="533"/>
      <c r="G21" s="882" t="s">
        <v>375</v>
      </c>
      <c r="H21" s="885"/>
      <c r="I21" s="882"/>
      <c r="J21" s="719" t="s">
        <v>822</v>
      </c>
      <c r="K21" s="688"/>
    </row>
    <row r="22" spans="1:11">
      <c r="D22" s="874">
        <f>SUM(D13:D21)</f>
        <v>0</v>
      </c>
      <c r="E22" s="875">
        <f>SUM(E13:E21)</f>
        <v>0</v>
      </c>
      <c r="F22" s="876">
        <f>SUM(F13:F21)</f>
        <v>0</v>
      </c>
    </row>
    <row r="23" spans="1:11" ht="15.75" thickBot="1">
      <c r="D23" s="203" t="s">
        <v>360</v>
      </c>
      <c r="E23" s="204" t="s">
        <v>361</v>
      </c>
      <c r="F23" s="205" t="s">
        <v>362</v>
      </c>
    </row>
    <row r="24" spans="1:11" s="1059" customFormat="1" ht="12.75">
      <c r="A24" s="1059" t="s">
        <v>533</v>
      </c>
      <c r="B24" s="1069"/>
    </row>
    <row r="25" spans="1:11" s="1059" customFormat="1" ht="12.75">
      <c r="A25" s="1059" t="s">
        <v>534</v>
      </c>
      <c r="B25" s="1069"/>
    </row>
  </sheetData>
  <mergeCells count="4">
    <mergeCell ref="A10:B10"/>
    <mergeCell ref="C10:K10"/>
    <mergeCell ref="C11:H11"/>
    <mergeCell ref="I11:K11"/>
  </mergeCells>
  <pageMargins left="0.7" right="0.7" top="0.75" bottom="0.75" header="0.3" footer="0.3"/>
  <pageSetup paperSize="9" scale="68" orientation="landscape"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4071-E8C5-40B2-A95C-0DB36C29EF75}">
  <dimension ref="A1:G7"/>
  <sheetViews>
    <sheetView zoomScale="75" zoomScaleNormal="75" workbookViewId="0">
      <selection activeCell="G1" sqref="G1"/>
    </sheetView>
  </sheetViews>
  <sheetFormatPr defaultColWidth="8.7109375" defaultRowHeight="15"/>
  <cols>
    <col min="1" max="1" width="45.7109375" bestFit="1" customWidth="1"/>
    <col min="4" max="4" width="9.7109375" bestFit="1" customWidth="1"/>
  </cols>
  <sheetData>
    <row r="1" spans="1:7" ht="21">
      <c r="A1" s="213" t="s">
        <v>498</v>
      </c>
      <c r="B1" s="214"/>
      <c r="C1" s="214"/>
      <c r="D1" s="214"/>
      <c r="G1" s="973" t="s">
        <v>497</v>
      </c>
    </row>
    <row r="2" spans="1:7" ht="21">
      <c r="A2" s="214"/>
      <c r="B2" s="472" t="s">
        <v>367</v>
      </c>
      <c r="C2" s="472" t="s">
        <v>368</v>
      </c>
      <c r="D2" s="472" t="s">
        <v>369</v>
      </c>
    </row>
    <row r="3" spans="1:7" ht="21">
      <c r="A3" s="222" t="s">
        <v>499</v>
      </c>
      <c r="B3" s="473">
        <f>Narratives!D22</f>
        <v>0</v>
      </c>
      <c r="C3" s="473">
        <f>Narratives!E22</f>
        <v>0</v>
      </c>
      <c r="D3" s="473">
        <f>Narratives!F22</f>
        <v>0</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B477-42C6-487B-BE31-BC5B045522D7}">
  <sheetPr>
    <pageSetUpPr fitToPage="1"/>
  </sheetPr>
  <dimension ref="A1:K46"/>
  <sheetViews>
    <sheetView zoomScale="75" zoomScaleNormal="75" workbookViewId="0">
      <selection activeCell="K1" sqref="K1"/>
    </sheetView>
  </sheetViews>
  <sheetFormatPr defaultColWidth="8.7109375" defaultRowHeight="15"/>
  <cols>
    <col min="1" max="1" width="21" customWidth="1"/>
    <col min="2" max="2" width="20.42578125" style="3" customWidth="1"/>
    <col min="3" max="3" width="10.7109375" style="52" customWidth="1"/>
    <col min="4" max="6" width="6.7109375" customWidth="1"/>
    <col min="7" max="8" width="28.7109375" customWidth="1"/>
    <col min="9" max="9" width="10.7109375" customWidth="1"/>
    <col min="10" max="11" width="28.7109375" customWidth="1"/>
    <col min="12" max="15" width="9.7109375" customWidth="1"/>
    <col min="16" max="16" width="31.42578125" bestFit="1" customWidth="1"/>
  </cols>
  <sheetData>
    <row r="1" spans="1:11" ht="21">
      <c r="A1" s="36" t="s">
        <v>278</v>
      </c>
      <c r="B1" s="165"/>
      <c r="C1"/>
      <c r="G1" s="973" t="s">
        <v>497</v>
      </c>
    </row>
    <row r="2" spans="1:11" ht="15" customHeight="1">
      <c r="A2" s="291" t="s">
        <v>333</v>
      </c>
      <c r="B2" t="s">
        <v>282</v>
      </c>
      <c r="C2" s="94"/>
      <c r="D2" s="6"/>
      <c r="E2" s="6"/>
      <c r="F2" s="6"/>
      <c r="G2" s="6"/>
      <c r="H2" s="6"/>
      <c r="I2" s="6"/>
      <c r="J2" s="5"/>
      <c r="K2" s="6"/>
    </row>
    <row r="3" spans="1:11" ht="15" customHeight="1">
      <c r="A3" s="501" t="s">
        <v>334</v>
      </c>
      <c r="B3" t="s">
        <v>308</v>
      </c>
      <c r="C3" s="94"/>
      <c r="D3" s="6"/>
      <c r="E3" s="6"/>
      <c r="F3" s="6"/>
      <c r="G3" s="6"/>
      <c r="H3" s="6"/>
      <c r="I3" s="6"/>
      <c r="J3" s="6"/>
      <c r="K3" s="6"/>
    </row>
    <row r="4" spans="1:11" ht="15" customHeight="1">
      <c r="A4" s="292" t="s">
        <v>520</v>
      </c>
      <c r="B4" t="s">
        <v>521</v>
      </c>
      <c r="C4" s="94"/>
      <c r="D4" s="6"/>
      <c r="E4" s="6"/>
      <c r="F4" s="6"/>
      <c r="G4" s="6"/>
      <c r="H4" s="6"/>
      <c r="I4" s="6"/>
      <c r="J4" s="6"/>
      <c r="K4" s="6"/>
    </row>
    <row r="5" spans="1:11" ht="15" customHeight="1">
      <c r="A5" s="622" t="s">
        <v>487</v>
      </c>
      <c r="B5"/>
      <c r="C5" s="94"/>
      <c r="D5" s="6"/>
      <c r="E5" s="6"/>
      <c r="F5" s="6"/>
      <c r="G5" s="6"/>
      <c r="H5" s="6"/>
      <c r="I5" s="6"/>
      <c r="J5" s="6"/>
      <c r="K5" s="6"/>
    </row>
    <row r="6" spans="1:11">
      <c r="A6" s="293"/>
      <c r="B6" s="35" t="s">
        <v>136</v>
      </c>
      <c r="C6" s="6"/>
      <c r="D6" s="6"/>
      <c r="E6" s="6"/>
      <c r="F6" s="6"/>
      <c r="G6" s="6"/>
      <c r="H6" s="35"/>
      <c r="I6" s="35"/>
      <c r="J6" s="6"/>
      <c r="K6" s="6"/>
    </row>
    <row r="7" spans="1:11">
      <c r="A7" s="294"/>
      <c r="B7" s="35" t="s">
        <v>329</v>
      </c>
      <c r="C7" s="6"/>
      <c r="D7" s="6"/>
      <c r="E7" s="6"/>
      <c r="F7" s="6"/>
      <c r="G7" s="6"/>
      <c r="H7" s="35"/>
      <c r="I7" s="35"/>
      <c r="J7" s="6"/>
      <c r="K7" s="6"/>
    </row>
    <row r="8" spans="1:11">
      <c r="A8" s="295"/>
      <c r="B8" s="35" t="s">
        <v>380</v>
      </c>
      <c r="C8" s="6"/>
      <c r="D8" s="6"/>
      <c r="E8" s="6"/>
      <c r="F8" s="6"/>
      <c r="G8" s="6"/>
      <c r="H8" s="35"/>
      <c r="I8" s="35"/>
      <c r="J8" s="6"/>
      <c r="K8" s="6"/>
    </row>
    <row r="9" spans="1:11">
      <c r="A9" s="296" t="s">
        <v>391</v>
      </c>
      <c r="B9" s="35" t="s">
        <v>392</v>
      </c>
      <c r="C9" s="6"/>
      <c r="D9" s="6"/>
      <c r="E9" s="6"/>
      <c r="F9" s="6"/>
      <c r="G9" s="6"/>
      <c r="H9" s="35"/>
      <c r="I9" s="35"/>
      <c r="J9" s="6"/>
      <c r="K9" s="6"/>
    </row>
    <row r="10" spans="1:11" ht="77.650000000000006" customHeight="1" thickBot="1">
      <c r="A10" s="1162"/>
      <c r="B10" s="1163"/>
      <c r="C10" s="1139" t="s">
        <v>1173</v>
      </c>
      <c r="D10" s="1140"/>
      <c r="E10" s="1140"/>
      <c r="F10" s="1140"/>
      <c r="G10" s="1140"/>
      <c r="H10" s="1140"/>
      <c r="I10" s="1140"/>
      <c r="J10" s="1140"/>
      <c r="K10" s="1141"/>
    </row>
    <row r="11" spans="1:11" ht="14.65" customHeight="1">
      <c r="A11" s="672"/>
      <c r="B11" s="972"/>
      <c r="C11" s="1142" t="s">
        <v>486</v>
      </c>
      <c r="D11" s="1143"/>
      <c r="E11" s="1143"/>
      <c r="F11" s="1143"/>
      <c r="G11" s="1143"/>
      <c r="H11" s="1144"/>
      <c r="I11" s="1142" t="s">
        <v>479</v>
      </c>
      <c r="J11" s="1145"/>
      <c r="K11" s="1146"/>
    </row>
    <row r="12" spans="1:11" ht="25.5">
      <c r="A12" s="138" t="s">
        <v>131</v>
      </c>
      <c r="B12" s="575" t="s">
        <v>117</v>
      </c>
      <c r="C12" s="586" t="s">
        <v>480</v>
      </c>
      <c r="D12" s="570" t="s">
        <v>360</v>
      </c>
      <c r="E12" s="571" t="s">
        <v>361</v>
      </c>
      <c r="F12" s="572" t="s">
        <v>362</v>
      </c>
      <c r="G12" s="573" t="s">
        <v>571</v>
      </c>
      <c r="H12" s="587" t="s">
        <v>422</v>
      </c>
      <c r="I12" s="608" t="s">
        <v>480</v>
      </c>
      <c r="J12" s="104" t="s">
        <v>523</v>
      </c>
      <c r="K12" s="609" t="s">
        <v>422</v>
      </c>
    </row>
    <row r="13" spans="1:11" ht="63.75">
      <c r="A13" s="105" t="s">
        <v>461</v>
      </c>
      <c r="B13" s="847" t="s">
        <v>826</v>
      </c>
      <c r="C13" s="780"/>
      <c r="D13" s="554"/>
      <c r="E13" s="555"/>
      <c r="F13" s="556"/>
      <c r="G13" s="202" t="s">
        <v>842</v>
      </c>
      <c r="H13" s="642"/>
      <c r="I13" s="279"/>
      <c r="J13" s="92" t="s">
        <v>852</v>
      </c>
      <c r="K13" s="642"/>
    </row>
    <row r="14" spans="1:11" ht="140.25">
      <c r="A14" s="540"/>
      <c r="B14" s="753" t="s">
        <v>859</v>
      </c>
      <c r="C14" s="780"/>
      <c r="D14" s="554"/>
      <c r="E14" s="555"/>
      <c r="F14" s="556"/>
      <c r="G14" s="202" t="s">
        <v>468</v>
      </c>
      <c r="H14" s="1048" t="s">
        <v>1154</v>
      </c>
      <c r="I14" s="975" t="s">
        <v>330</v>
      </c>
      <c r="J14" s="485" t="s">
        <v>330</v>
      </c>
      <c r="K14" s="976" t="s">
        <v>330</v>
      </c>
    </row>
    <row r="15" spans="1:11" ht="76.5">
      <c r="A15" s="540"/>
      <c r="B15" s="753" t="s">
        <v>929</v>
      </c>
      <c r="C15" s="780"/>
      <c r="D15" s="554"/>
      <c r="E15" s="555"/>
      <c r="F15" s="556"/>
      <c r="G15" s="202" t="s">
        <v>862</v>
      </c>
      <c r="H15" s="642" t="s">
        <v>1148</v>
      </c>
      <c r="I15" s="975" t="s">
        <v>330</v>
      </c>
      <c r="J15" s="485" t="s">
        <v>330</v>
      </c>
      <c r="K15" s="976" t="s">
        <v>330</v>
      </c>
    </row>
    <row r="16" spans="1:11" ht="38.25">
      <c r="A16" s="540"/>
      <c r="B16" s="847" t="s">
        <v>827</v>
      </c>
      <c r="C16" s="780"/>
      <c r="D16" s="554"/>
      <c r="E16" s="555"/>
      <c r="F16" s="556"/>
      <c r="G16" s="202" t="s">
        <v>1150</v>
      </c>
      <c r="H16" s="642" t="s">
        <v>1151</v>
      </c>
      <c r="I16" s="279"/>
      <c r="J16" s="92" t="s">
        <v>853</v>
      </c>
      <c r="K16" s="642"/>
    </row>
    <row r="17" spans="1:11" ht="27.4" customHeight="1">
      <c r="A17" s="540"/>
      <c r="B17" s="847" t="s">
        <v>828</v>
      </c>
      <c r="C17" s="780"/>
      <c r="D17" s="554"/>
      <c r="E17" s="555"/>
      <c r="F17" s="556"/>
      <c r="G17" s="202" t="s">
        <v>473</v>
      </c>
      <c r="H17" s="642"/>
      <c r="I17" s="279"/>
      <c r="J17" s="92"/>
      <c r="K17" s="642"/>
    </row>
    <row r="18" spans="1:11" ht="76.5">
      <c r="A18" s="540"/>
      <c r="B18" s="847" t="s">
        <v>860</v>
      </c>
      <c r="C18" s="780"/>
      <c r="D18" s="554"/>
      <c r="E18" s="555"/>
      <c r="F18" s="556"/>
      <c r="G18" s="202" t="s">
        <v>861</v>
      </c>
      <c r="H18" s="642" t="s">
        <v>1149</v>
      </c>
      <c r="I18" s="975"/>
      <c r="J18" s="178" t="s">
        <v>478</v>
      </c>
      <c r="K18" s="1049" t="s">
        <v>506</v>
      </c>
    </row>
    <row r="19" spans="1:11" ht="51">
      <c r="A19" s="540"/>
      <c r="B19" s="847" t="s">
        <v>829</v>
      </c>
      <c r="C19" s="780"/>
      <c r="D19" s="554"/>
      <c r="E19" s="555"/>
      <c r="F19" s="556"/>
      <c r="G19" s="202" t="s">
        <v>863</v>
      </c>
      <c r="H19" s="642"/>
      <c r="I19" s="279"/>
      <c r="J19" s="92" t="s">
        <v>478</v>
      </c>
      <c r="K19" s="1049" t="s">
        <v>507</v>
      </c>
    </row>
    <row r="20" spans="1:11" ht="38.25">
      <c r="A20" s="540"/>
      <c r="B20" s="847" t="s">
        <v>830</v>
      </c>
      <c r="C20" s="780"/>
      <c r="D20" s="554"/>
      <c r="E20" s="555"/>
      <c r="F20" s="556"/>
      <c r="G20" s="202" t="s">
        <v>470</v>
      </c>
      <c r="H20" s="642" t="s">
        <v>1152</v>
      </c>
      <c r="I20" s="279"/>
      <c r="J20" s="92" t="s">
        <v>471</v>
      </c>
      <c r="K20" s="642" t="s">
        <v>1153</v>
      </c>
    </row>
    <row r="21" spans="1:11" ht="165.75">
      <c r="A21" s="540"/>
      <c r="B21" s="753" t="s">
        <v>831</v>
      </c>
      <c r="C21" s="780"/>
      <c r="D21" s="554"/>
      <c r="E21" s="555"/>
      <c r="F21" s="556"/>
      <c r="G21" s="202" t="s">
        <v>864</v>
      </c>
      <c r="H21" s="1048" t="s">
        <v>508</v>
      </c>
      <c r="I21" s="279"/>
      <c r="J21" s="92" t="s">
        <v>854</v>
      </c>
      <c r="K21" s="642"/>
    </row>
    <row r="22" spans="1:11" ht="38.25">
      <c r="A22" s="540"/>
      <c r="B22" s="847" t="s">
        <v>841</v>
      </c>
      <c r="C22" s="780"/>
      <c r="D22" s="554"/>
      <c r="E22" s="555"/>
      <c r="F22" s="556"/>
      <c r="G22" s="202" t="s">
        <v>474</v>
      </c>
      <c r="H22" s="642"/>
      <c r="I22" s="279"/>
      <c r="J22" s="92" t="s">
        <v>509</v>
      </c>
      <c r="K22" s="642"/>
    </row>
    <row r="23" spans="1:11" ht="25.5">
      <c r="A23" s="541"/>
      <c r="B23" s="847" t="s">
        <v>832</v>
      </c>
      <c r="C23" s="877"/>
      <c r="D23" s="557"/>
      <c r="E23" s="558"/>
      <c r="F23" s="559"/>
      <c r="G23" s="201" t="s">
        <v>843</v>
      </c>
      <c r="H23" s="643"/>
      <c r="I23" s="280"/>
      <c r="J23" s="93" t="s">
        <v>509</v>
      </c>
      <c r="K23" s="643"/>
    </row>
    <row r="24" spans="1:11" ht="63.75">
      <c r="A24" s="560" t="s">
        <v>462</v>
      </c>
      <c r="B24" s="847" t="s">
        <v>826</v>
      </c>
      <c r="C24" s="780"/>
      <c r="D24" s="554"/>
      <c r="E24" s="555"/>
      <c r="F24" s="556"/>
      <c r="G24" s="202" t="s">
        <v>472</v>
      </c>
      <c r="H24" s="642" t="s">
        <v>848</v>
      </c>
      <c r="I24" s="279"/>
      <c r="J24" s="92" t="s">
        <v>855</v>
      </c>
      <c r="K24" s="642"/>
    </row>
    <row r="25" spans="1:11" ht="51">
      <c r="A25" s="542"/>
      <c r="B25" s="847" t="s">
        <v>833</v>
      </c>
      <c r="C25" s="780"/>
      <c r="D25" s="554"/>
      <c r="E25" s="555"/>
      <c r="F25" s="556"/>
      <c r="G25" s="202" t="s">
        <v>464</v>
      </c>
      <c r="H25" s="1048" t="s">
        <v>512</v>
      </c>
      <c r="I25" s="279"/>
      <c r="J25" s="92" t="s">
        <v>855</v>
      </c>
      <c r="K25" s="974"/>
    </row>
    <row r="26" spans="1:11" ht="38.25">
      <c r="A26" s="542"/>
      <c r="B26" s="847" t="s">
        <v>928</v>
      </c>
      <c r="C26" s="780"/>
      <c r="D26" s="554"/>
      <c r="E26" s="555"/>
      <c r="F26" s="556"/>
      <c r="G26" s="202" t="s">
        <v>465</v>
      </c>
      <c r="H26" s="642"/>
      <c r="I26" s="279"/>
      <c r="J26" s="92" t="s">
        <v>856</v>
      </c>
      <c r="K26" s="1048" t="s">
        <v>505</v>
      </c>
    </row>
    <row r="27" spans="1:11" ht="51">
      <c r="A27" s="542"/>
      <c r="B27" s="847" t="s">
        <v>834</v>
      </c>
      <c r="C27" s="780"/>
      <c r="D27" s="554"/>
      <c r="E27" s="555"/>
      <c r="F27" s="556"/>
      <c r="G27" s="202" t="s">
        <v>477</v>
      </c>
      <c r="H27" s="642" t="s">
        <v>510</v>
      </c>
      <c r="I27" s="279"/>
      <c r="J27" s="92" t="s">
        <v>857</v>
      </c>
      <c r="K27" s="642"/>
    </row>
    <row r="28" spans="1:11" ht="25.5">
      <c r="A28" s="542"/>
      <c r="B28" s="847" t="s">
        <v>141</v>
      </c>
      <c r="C28" s="780"/>
      <c r="D28" s="554"/>
      <c r="E28" s="555"/>
      <c r="F28" s="556"/>
      <c r="G28" s="202" t="s">
        <v>477</v>
      </c>
      <c r="H28" s="642"/>
      <c r="I28" s="279"/>
      <c r="J28" s="92" t="s">
        <v>857</v>
      </c>
      <c r="K28" s="1048" t="s">
        <v>511</v>
      </c>
    </row>
    <row r="29" spans="1:11" ht="51">
      <c r="A29" s="542"/>
      <c r="B29" s="847" t="s">
        <v>835</v>
      </c>
      <c r="C29" s="780"/>
      <c r="D29" s="554"/>
      <c r="E29" s="555"/>
      <c r="F29" s="556"/>
      <c r="G29" s="202" t="s">
        <v>865</v>
      </c>
      <c r="H29" s="642"/>
      <c r="I29" s="279"/>
      <c r="J29" s="92" t="s">
        <v>478</v>
      </c>
      <c r="K29" s="1049" t="s">
        <v>506</v>
      </c>
    </row>
    <row r="30" spans="1:11" ht="51">
      <c r="A30" s="542"/>
      <c r="B30" s="847" t="s">
        <v>836</v>
      </c>
      <c r="C30" s="780"/>
      <c r="D30" s="554"/>
      <c r="E30" s="555"/>
      <c r="F30" s="556"/>
      <c r="G30" s="202" t="s">
        <v>844</v>
      </c>
      <c r="H30" s="642"/>
      <c r="I30" s="279"/>
      <c r="J30" s="92" t="s">
        <v>478</v>
      </c>
      <c r="K30" s="1049" t="s">
        <v>507</v>
      </c>
    </row>
    <row r="31" spans="1:11" ht="102">
      <c r="A31" s="542"/>
      <c r="B31" s="847" t="s">
        <v>837</v>
      </c>
      <c r="C31" s="780"/>
      <c r="D31" s="554"/>
      <c r="E31" s="555"/>
      <c r="F31" s="556"/>
      <c r="G31" s="202" t="s">
        <v>845</v>
      </c>
      <c r="H31" s="642" t="s">
        <v>849</v>
      </c>
      <c r="I31" s="279"/>
      <c r="J31" s="92" t="s">
        <v>471</v>
      </c>
      <c r="K31" s="642"/>
    </row>
    <row r="32" spans="1:11" ht="114.75">
      <c r="A32" s="542"/>
      <c r="B32" s="753" t="s">
        <v>838</v>
      </c>
      <c r="C32" s="780"/>
      <c r="D32" s="554"/>
      <c r="E32" s="555"/>
      <c r="F32" s="556"/>
      <c r="G32" s="202" t="s">
        <v>466</v>
      </c>
      <c r="H32" s="642" t="s">
        <v>513</v>
      </c>
      <c r="I32" s="279"/>
      <c r="J32" s="92" t="s">
        <v>858</v>
      </c>
      <c r="K32" s="642"/>
    </row>
    <row r="33" spans="1:11" ht="25.5">
      <c r="A33" s="542"/>
      <c r="B33" s="847" t="s">
        <v>839</v>
      </c>
      <c r="C33" s="780"/>
      <c r="D33" s="554"/>
      <c r="E33" s="555"/>
      <c r="F33" s="556"/>
      <c r="G33" s="202" t="s">
        <v>467</v>
      </c>
      <c r="H33" s="642"/>
      <c r="I33" s="279"/>
      <c r="J33" s="92"/>
      <c r="K33" s="642"/>
    </row>
    <row r="34" spans="1:11" ht="39" thickBot="1">
      <c r="A34" s="543"/>
      <c r="B34" s="847" t="s">
        <v>840</v>
      </c>
      <c r="C34" s="878"/>
      <c r="D34" s="879"/>
      <c r="E34" s="880"/>
      <c r="F34" s="881"/>
      <c r="G34" s="687" t="s">
        <v>476</v>
      </c>
      <c r="H34" s="688"/>
      <c r="I34" s="697"/>
      <c r="J34" s="698"/>
      <c r="K34" s="688"/>
    </row>
    <row r="35" spans="1:11">
      <c r="D35" s="874">
        <f>SUM(D13:D34)</f>
        <v>0</v>
      </c>
      <c r="E35" s="875">
        <f>SUM(E13:E34)</f>
        <v>0</v>
      </c>
      <c r="F35" s="876">
        <f>SUM(F13:F34)</f>
        <v>0</v>
      </c>
    </row>
    <row r="36" spans="1:11" ht="15.75" thickBot="1">
      <c r="D36" s="203" t="s">
        <v>360</v>
      </c>
      <c r="E36" s="204" t="s">
        <v>361</v>
      </c>
      <c r="F36" s="205" t="s">
        <v>362</v>
      </c>
    </row>
    <row r="37" spans="1:11" s="1059" customFormat="1" ht="12.75">
      <c r="A37" s="1059" t="s">
        <v>546</v>
      </c>
      <c r="B37" s="1056"/>
      <c r="C37" s="1069"/>
    </row>
    <row r="38" spans="1:11" s="1059" customFormat="1" ht="12.75">
      <c r="A38" s="1059" t="s">
        <v>850</v>
      </c>
      <c r="B38" s="1056"/>
      <c r="C38" s="1069"/>
    </row>
    <row r="39" spans="1:11" s="1059" customFormat="1" ht="12.75">
      <c r="A39" s="1059" t="s">
        <v>533</v>
      </c>
      <c r="B39" s="1056"/>
      <c r="C39" s="1069"/>
    </row>
    <row r="40" spans="1:11" s="1059" customFormat="1" ht="12.75">
      <c r="A40" s="1059" t="s">
        <v>851</v>
      </c>
      <c r="B40" s="1056"/>
      <c r="C40" s="1069"/>
    </row>
    <row r="41" spans="1:11" s="1059" customFormat="1" ht="12.75">
      <c r="A41" s="1059" t="s">
        <v>866</v>
      </c>
      <c r="B41" s="1056"/>
      <c r="C41" s="1069"/>
    </row>
    <row r="42" spans="1:11" s="1059" customFormat="1" ht="12.75">
      <c r="A42" s="1059" t="s">
        <v>534</v>
      </c>
      <c r="B42" s="1056"/>
      <c r="C42" s="1069"/>
    </row>
    <row r="43" spans="1:11" s="1059" customFormat="1" ht="12.75">
      <c r="A43" s="1059" t="s">
        <v>547</v>
      </c>
      <c r="B43" s="1056"/>
      <c r="C43" s="1069"/>
    </row>
    <row r="44" spans="1:11" s="1059" customFormat="1" ht="12.75">
      <c r="A44" s="1059" t="s">
        <v>846</v>
      </c>
      <c r="B44" s="1056"/>
      <c r="C44" s="1069"/>
    </row>
    <row r="45" spans="1:11" s="1059" customFormat="1" ht="12.75">
      <c r="A45" s="1059" t="s">
        <v>847</v>
      </c>
      <c r="B45" s="1056"/>
      <c r="C45" s="1069"/>
    </row>
    <row r="46" spans="1:11" s="1059" customFormat="1" ht="12.75">
      <c r="A46" s="1059" t="s">
        <v>809</v>
      </c>
      <c r="B46" s="1056"/>
      <c r="C46" s="1069"/>
    </row>
  </sheetData>
  <mergeCells count="4">
    <mergeCell ref="A10:B10"/>
    <mergeCell ref="C10:K10"/>
    <mergeCell ref="C11:H11"/>
    <mergeCell ref="I11:K11"/>
  </mergeCells>
  <hyperlinks>
    <hyperlink ref="H14" r:id="rId1" display="https://www.wa.gov.au/organisation/department-of-communities/social-housing-economic-recovery-package _x000a_" xr:uid="{D3728A86-8AD7-48EB-B7C8-7B371DBDBBF9}"/>
    <hyperlink ref="K26" r:id="rId2" xr:uid="{A25B0857-91A8-4E20-BF6C-433E951300FE}"/>
    <hyperlink ref="K18" r:id="rId3" xr:uid="{7ED60EC9-6AC2-4BFF-BA0C-9BCC2EFE0907}"/>
    <hyperlink ref="K19" r:id="rId4" display="https://www.housingdata.gov.au/visualisation/social-housing/tenant-satisfaction-with-services" xr:uid="{BDFF6D0C-B60F-4DB0-A85F-6869E9151AD7}"/>
    <hyperlink ref="K29" r:id="rId5" xr:uid="{1AE6A82F-30AD-49B4-BB54-37C7FA3B6201}"/>
    <hyperlink ref="K30" r:id="rId6" display="https://www.housingdata.gov.au/visualisation/social-housing/tenant-satisfaction-with-services" xr:uid="{3700C185-D94D-4EE0-890D-0921818AB2BF}"/>
    <hyperlink ref="H21" r:id="rId7" location=":~:text=Key%20Statistics%201%20Almost%20half%20of%20new%20residential,average%20increase%20of%20%243%2C941%20per%20dwelling.%20More%20items" display="https://www.abs.gov.au/articles/building-new-home-construction-cost-changes#:~:text=Key%20Statistics%201%20Almost%20half%20of%20new%20residential,average%20increase%20of%20%243%2C941%20per%20dwelling.%20More%20items" xr:uid="{28C03459-6C45-4F4A-917B-4BDBA7D9BD13}"/>
    <hyperlink ref="K28" r:id="rId8" xr:uid="{3F7DC5C4-FC71-4B61-8075-14075272D2CD}"/>
    <hyperlink ref="H25" r:id="rId9" xr:uid="{4EBAB2AB-B8FE-4923-962C-CB9FBE2B1813}"/>
  </hyperlinks>
  <pageMargins left="0.7" right="0.7" top="0.75" bottom="0.75" header="0.3" footer="0.3"/>
  <pageSetup paperSize="9" orientation="landscape" horizontalDpi="4294967293" r:id="rId10"/>
  <drawing r:id="rId11"/>
  <legacyDrawing r:id="rId1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FEEF6-0692-4842-9ADE-351DAC69D147}">
  <dimension ref="A1:G7"/>
  <sheetViews>
    <sheetView zoomScale="75" zoomScaleNormal="75" workbookViewId="0">
      <selection activeCell="G1" sqref="G1"/>
    </sheetView>
  </sheetViews>
  <sheetFormatPr defaultColWidth="8.7109375" defaultRowHeight="15"/>
  <cols>
    <col min="1" max="1" width="34" customWidth="1"/>
  </cols>
  <sheetData>
    <row r="1" spans="1:7" ht="21">
      <c r="A1" s="213" t="s">
        <v>500</v>
      </c>
      <c r="B1" s="214"/>
      <c r="C1" s="214"/>
      <c r="D1" s="214"/>
      <c r="G1" s="973" t="s">
        <v>497</v>
      </c>
    </row>
    <row r="2" spans="1:7" ht="21">
      <c r="A2" s="214"/>
      <c r="B2" s="472" t="s">
        <v>367</v>
      </c>
      <c r="C2" s="472" t="s">
        <v>368</v>
      </c>
      <c r="D2" s="472" t="s">
        <v>369</v>
      </c>
    </row>
    <row r="3" spans="1:7" ht="21">
      <c r="A3" s="222" t="s">
        <v>501</v>
      </c>
      <c r="B3" s="473">
        <f>'Network engagement'!D35</f>
        <v>0</v>
      </c>
      <c r="C3" s="473">
        <f>'Network engagement'!E35</f>
        <v>0</v>
      </c>
      <c r="D3" s="473">
        <f>'Network engagement'!F35</f>
        <v>0</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06CF-716F-4A0C-8EEA-FCA5A9AB8447}">
  <sheetPr>
    <pageSetUpPr fitToPage="1"/>
  </sheetPr>
  <dimension ref="A1:M25"/>
  <sheetViews>
    <sheetView zoomScale="75" zoomScaleNormal="75" workbookViewId="0">
      <selection activeCell="K1" sqref="K1"/>
    </sheetView>
  </sheetViews>
  <sheetFormatPr defaultColWidth="8.7109375" defaultRowHeight="15"/>
  <cols>
    <col min="1" max="2" width="36.7109375" style="7" customWidth="1"/>
    <col min="3" max="3" width="10.7109375" style="7" customWidth="1"/>
    <col min="4" max="6" width="6.7109375" style="7" customWidth="1"/>
    <col min="7" max="7" width="28.7109375" style="7" customWidth="1"/>
    <col min="8" max="8" width="28.7109375" customWidth="1"/>
    <col min="9" max="9" width="10.7109375" customWidth="1"/>
    <col min="10" max="11" width="28.7109375" customWidth="1"/>
  </cols>
  <sheetData>
    <row r="1" spans="1:13" ht="21">
      <c r="A1" s="118" t="s">
        <v>279</v>
      </c>
      <c r="G1" s="973" t="s">
        <v>497</v>
      </c>
    </row>
    <row r="2" spans="1:13" ht="15" customHeight="1">
      <c r="A2" s="291" t="s">
        <v>333</v>
      </c>
      <c r="B2" t="s">
        <v>282</v>
      </c>
      <c r="C2" s="94"/>
      <c r="D2" s="6"/>
      <c r="E2" s="6"/>
      <c r="F2" s="6"/>
      <c r="G2" s="6"/>
      <c r="H2" s="6"/>
      <c r="I2" s="6"/>
      <c r="J2" s="5"/>
      <c r="K2" s="6"/>
    </row>
    <row r="3" spans="1:13" ht="15" customHeight="1">
      <c r="A3" s="501" t="s">
        <v>334</v>
      </c>
      <c r="B3" t="s">
        <v>308</v>
      </c>
      <c r="C3" s="94"/>
      <c r="D3" s="6"/>
      <c r="E3" s="6"/>
      <c r="F3" s="6"/>
      <c r="G3" s="6"/>
      <c r="H3" s="6"/>
      <c r="I3" s="6"/>
      <c r="J3" s="6"/>
      <c r="K3" s="6"/>
    </row>
    <row r="4" spans="1:13" ht="15" customHeight="1">
      <c r="A4" s="292" t="s">
        <v>520</v>
      </c>
      <c r="B4" t="s">
        <v>521</v>
      </c>
      <c r="C4" s="94"/>
      <c r="D4" s="6"/>
      <c r="E4" s="6"/>
      <c r="F4" s="6"/>
      <c r="G4" s="6"/>
      <c r="H4" s="6"/>
      <c r="I4" s="6"/>
      <c r="J4" s="6"/>
      <c r="K4" s="6"/>
    </row>
    <row r="5" spans="1:13" ht="15" customHeight="1">
      <c r="A5" s="622" t="s">
        <v>487</v>
      </c>
      <c r="B5"/>
      <c r="C5" s="94"/>
      <c r="D5" s="6"/>
      <c r="E5" s="6"/>
      <c r="F5" s="6"/>
      <c r="G5" s="6"/>
      <c r="H5" s="6"/>
      <c r="I5" s="6"/>
      <c r="J5" s="6"/>
      <c r="K5" s="6"/>
    </row>
    <row r="6" spans="1:13">
      <c r="A6" s="293"/>
      <c r="B6" s="35" t="s">
        <v>136</v>
      </c>
      <c r="C6" s="6"/>
      <c r="D6" s="6"/>
      <c r="E6" s="6"/>
      <c r="F6" s="6"/>
      <c r="G6" s="6"/>
      <c r="H6" s="35"/>
      <c r="I6" s="35"/>
      <c r="J6" s="6"/>
      <c r="K6" s="6"/>
    </row>
    <row r="7" spans="1:13">
      <c r="A7" s="294"/>
      <c r="B7" s="35" t="s">
        <v>329</v>
      </c>
      <c r="C7" s="6"/>
      <c r="D7" s="6"/>
      <c r="E7" s="6"/>
      <c r="F7" s="6"/>
      <c r="G7" s="6"/>
      <c r="H7" s="35"/>
      <c r="I7" s="35"/>
      <c r="J7" s="6"/>
      <c r="K7" s="6"/>
    </row>
    <row r="8" spans="1:13">
      <c r="A8" s="295"/>
      <c r="B8" s="35" t="s">
        <v>380</v>
      </c>
      <c r="C8" s="6"/>
      <c r="D8" s="6"/>
      <c r="E8" s="6"/>
      <c r="F8" s="6"/>
      <c r="G8" s="6"/>
      <c r="H8" s="35"/>
      <c r="I8" s="35"/>
      <c r="J8" s="6"/>
      <c r="K8" s="6"/>
    </row>
    <row r="9" spans="1:13">
      <c r="A9" s="296" t="s">
        <v>391</v>
      </c>
      <c r="B9" s="35" t="s">
        <v>392</v>
      </c>
      <c r="C9" s="6"/>
      <c r="D9" s="6"/>
      <c r="E9" s="6"/>
      <c r="F9" s="6"/>
      <c r="G9" s="6"/>
      <c r="H9" s="35"/>
      <c r="I9" s="35"/>
      <c r="J9" s="6"/>
      <c r="K9" s="6"/>
    </row>
    <row r="10" spans="1:13" ht="77.650000000000006" customHeight="1" thickBot="1">
      <c r="A10" s="1162"/>
      <c r="B10" s="1163"/>
      <c r="C10" s="1139" t="s">
        <v>1173</v>
      </c>
      <c r="D10" s="1140"/>
      <c r="E10" s="1140"/>
      <c r="F10" s="1140"/>
      <c r="G10" s="1140"/>
      <c r="H10" s="1140"/>
      <c r="I10" s="1140"/>
      <c r="J10" s="1140"/>
      <c r="K10" s="1141"/>
    </row>
    <row r="11" spans="1:13" ht="14.65" customHeight="1">
      <c r="A11" s="672"/>
      <c r="B11" s="972"/>
      <c r="C11" s="1142" t="s">
        <v>486</v>
      </c>
      <c r="D11" s="1143"/>
      <c r="E11" s="1143"/>
      <c r="F11" s="1143"/>
      <c r="G11" s="1143"/>
      <c r="H11" s="1144"/>
      <c r="I11" s="1142" t="s">
        <v>479</v>
      </c>
      <c r="J11" s="1145"/>
      <c r="K11" s="1146"/>
    </row>
    <row r="12" spans="1:13" ht="25.5">
      <c r="A12" s="138" t="s">
        <v>131</v>
      </c>
      <c r="B12" s="575" t="s">
        <v>117</v>
      </c>
      <c r="C12" s="586" t="s">
        <v>480</v>
      </c>
      <c r="D12" s="570" t="s">
        <v>360</v>
      </c>
      <c r="E12" s="571" t="s">
        <v>361</v>
      </c>
      <c r="F12" s="572" t="s">
        <v>362</v>
      </c>
      <c r="G12" s="573" t="s">
        <v>571</v>
      </c>
      <c r="H12" s="587" t="s">
        <v>422</v>
      </c>
      <c r="I12" s="608" t="s">
        <v>480</v>
      </c>
      <c r="J12" s="104" t="s">
        <v>523</v>
      </c>
      <c r="K12" s="609" t="s">
        <v>422</v>
      </c>
    </row>
    <row r="13" spans="1:13" ht="105">
      <c r="A13" s="33" t="s">
        <v>867</v>
      </c>
      <c r="B13" s="848" t="s">
        <v>459</v>
      </c>
      <c r="C13" s="869"/>
      <c r="D13" s="545"/>
      <c r="E13" s="546"/>
      <c r="F13" s="547"/>
      <c r="G13" s="227" t="s">
        <v>874</v>
      </c>
      <c r="H13" s="782" t="s">
        <v>882</v>
      </c>
      <c r="I13" s="871"/>
      <c r="J13" s="72" t="s">
        <v>883</v>
      </c>
      <c r="K13" s="782"/>
      <c r="L13" s="70"/>
      <c r="M13" s="35"/>
    </row>
    <row r="14" spans="1:13" ht="66.75" customHeight="1">
      <c r="A14" s="33" t="s">
        <v>868</v>
      </c>
      <c r="B14" s="873" t="s">
        <v>457</v>
      </c>
      <c r="C14" s="869"/>
      <c r="D14" s="545"/>
      <c r="E14" s="546"/>
      <c r="F14" s="547"/>
      <c r="G14" s="227" t="s">
        <v>460</v>
      </c>
      <c r="H14" s="782"/>
      <c r="I14" s="871"/>
      <c r="J14" s="72" t="s">
        <v>883</v>
      </c>
      <c r="K14" s="782"/>
      <c r="M14" s="35"/>
    </row>
    <row r="15" spans="1:13" ht="45">
      <c r="A15" s="33" t="s">
        <v>869</v>
      </c>
      <c r="B15" s="873" t="s">
        <v>458</v>
      </c>
      <c r="C15" s="869"/>
      <c r="D15" s="545"/>
      <c r="E15" s="546"/>
      <c r="F15" s="547"/>
      <c r="G15" s="227" t="s">
        <v>1108</v>
      </c>
      <c r="H15" s="782"/>
      <c r="I15" s="871"/>
      <c r="J15" s="72" t="s">
        <v>883</v>
      </c>
      <c r="K15" s="782"/>
      <c r="M15" s="35"/>
    </row>
    <row r="16" spans="1:13" ht="105">
      <c r="A16" s="33" t="s">
        <v>448</v>
      </c>
      <c r="B16" s="848" t="s">
        <v>447</v>
      </c>
      <c r="C16" s="869"/>
      <c r="D16" s="545"/>
      <c r="E16" s="546"/>
      <c r="F16" s="547"/>
      <c r="G16" s="227" t="s">
        <v>875</v>
      </c>
      <c r="H16" s="782"/>
      <c r="I16" s="871"/>
      <c r="J16" s="503" t="s">
        <v>884</v>
      </c>
      <c r="K16" s="840"/>
    </row>
    <row r="17" spans="1:11" ht="105">
      <c r="A17" s="33" t="s">
        <v>449</v>
      </c>
      <c r="B17" s="873" t="s">
        <v>870</v>
      </c>
      <c r="C17" s="869"/>
      <c r="D17" s="545"/>
      <c r="E17" s="546"/>
      <c r="F17" s="547"/>
      <c r="G17" s="227" t="s">
        <v>876</v>
      </c>
      <c r="H17" s="782"/>
      <c r="I17" s="871"/>
      <c r="J17" s="503" t="s">
        <v>884</v>
      </c>
      <c r="K17" s="840"/>
    </row>
    <row r="18" spans="1:11" ht="30">
      <c r="A18" s="33" t="s">
        <v>450</v>
      </c>
      <c r="B18" s="873" t="s">
        <v>451</v>
      </c>
      <c r="C18" s="869"/>
      <c r="D18" s="545"/>
      <c r="E18" s="546"/>
      <c r="F18" s="547"/>
      <c r="G18" s="227" t="s">
        <v>877</v>
      </c>
      <c r="H18" s="782"/>
      <c r="I18" s="871"/>
      <c r="J18" s="1032" t="s">
        <v>330</v>
      </c>
      <c r="K18" s="1033" t="s">
        <v>330</v>
      </c>
    </row>
    <row r="19" spans="1:11" ht="60.75" customHeight="1">
      <c r="A19" s="33" t="s">
        <v>452</v>
      </c>
      <c r="B19" s="873" t="s">
        <v>871</v>
      </c>
      <c r="C19" s="869"/>
      <c r="D19" s="545"/>
      <c r="E19" s="546"/>
      <c r="F19" s="547"/>
      <c r="G19" s="227" t="s">
        <v>878</v>
      </c>
      <c r="H19" s="782"/>
      <c r="I19" s="871"/>
      <c r="J19" s="503" t="s">
        <v>884</v>
      </c>
      <c r="K19" s="505"/>
    </row>
    <row r="20" spans="1:11" ht="99.4" customHeight="1">
      <c r="A20" s="71" t="s">
        <v>453</v>
      </c>
      <c r="B20" s="873" t="s">
        <v>872</v>
      </c>
      <c r="C20" s="869"/>
      <c r="D20" s="545"/>
      <c r="E20" s="546"/>
      <c r="F20" s="547"/>
      <c r="G20" s="227" t="s">
        <v>879</v>
      </c>
      <c r="H20" s="782"/>
      <c r="I20" s="871"/>
      <c r="J20" s="1032" t="s">
        <v>330</v>
      </c>
      <c r="K20" s="1033" t="s">
        <v>330</v>
      </c>
    </row>
    <row r="21" spans="1:11" ht="60">
      <c r="A21" s="43"/>
      <c r="B21" s="873" t="s">
        <v>873</v>
      </c>
      <c r="C21" s="869"/>
      <c r="D21" s="545"/>
      <c r="E21" s="546"/>
      <c r="F21" s="547"/>
      <c r="G21" s="227" t="s">
        <v>880</v>
      </c>
      <c r="H21" s="782"/>
      <c r="I21" s="871"/>
      <c r="J21" s="503" t="s">
        <v>884</v>
      </c>
      <c r="K21" s="782"/>
    </row>
    <row r="22" spans="1:11" ht="45">
      <c r="A22" s="71" t="s">
        <v>454</v>
      </c>
      <c r="B22" s="848" t="s">
        <v>455</v>
      </c>
      <c r="C22" s="869"/>
      <c r="D22" s="545"/>
      <c r="E22" s="546"/>
      <c r="F22" s="547"/>
      <c r="G22" s="227" t="s">
        <v>881</v>
      </c>
      <c r="H22" s="782"/>
      <c r="I22" s="871"/>
      <c r="J22" s="503" t="s">
        <v>884</v>
      </c>
      <c r="K22" s="782"/>
    </row>
    <row r="23" spans="1:11" ht="30.75" thickBot="1">
      <c r="A23" s="43"/>
      <c r="B23" s="873" t="s">
        <v>456</v>
      </c>
      <c r="C23" s="870"/>
      <c r="D23" s="548"/>
      <c r="E23" s="549"/>
      <c r="F23" s="550"/>
      <c r="G23" s="783" t="s">
        <v>218</v>
      </c>
      <c r="H23" s="784"/>
      <c r="I23" s="872"/>
      <c r="J23" s="1095" t="s">
        <v>330</v>
      </c>
      <c r="K23" s="1096" t="s">
        <v>330</v>
      </c>
    </row>
    <row r="24" spans="1:11">
      <c r="D24" s="874">
        <f>SUM(D13:D23)</f>
        <v>0</v>
      </c>
      <c r="E24" s="875">
        <f t="shared" ref="E24:F24" si="0">SUM(E13:E23)</f>
        <v>0</v>
      </c>
      <c r="F24" s="876">
        <f t="shared" si="0"/>
        <v>0</v>
      </c>
    </row>
    <row r="25" spans="1:11" ht="15.75" thickBot="1">
      <c r="D25" s="203" t="s">
        <v>360</v>
      </c>
      <c r="E25" s="204" t="s">
        <v>361</v>
      </c>
      <c r="F25" s="205" t="s">
        <v>362</v>
      </c>
    </row>
  </sheetData>
  <mergeCells count="4">
    <mergeCell ref="A10:B10"/>
    <mergeCell ref="C10:K10"/>
    <mergeCell ref="C11:H11"/>
    <mergeCell ref="I11:K11"/>
  </mergeCells>
  <pageMargins left="0.7" right="0.7" top="0.75" bottom="0.75" header="0.3" footer="0.3"/>
  <pageSetup paperSize="9" scale="73" orientation="landscape" horizontalDpi="4294967294"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81FE-BFD2-4B73-9473-34ACD8E98617}">
  <dimension ref="A1:G7"/>
  <sheetViews>
    <sheetView zoomScale="75" zoomScaleNormal="75" workbookViewId="0">
      <selection activeCell="G1" sqref="G1"/>
    </sheetView>
  </sheetViews>
  <sheetFormatPr defaultColWidth="8.7109375" defaultRowHeight="15"/>
  <cols>
    <col min="1" max="1" width="21.140625" customWidth="1"/>
  </cols>
  <sheetData>
    <row r="1" spans="1:7" ht="21">
      <c r="A1" s="213" t="s">
        <v>502</v>
      </c>
      <c r="B1" s="214"/>
      <c r="C1" s="214"/>
      <c r="D1" s="214"/>
      <c r="G1" s="973" t="s">
        <v>497</v>
      </c>
    </row>
    <row r="2" spans="1:7" ht="21">
      <c r="A2" s="214"/>
      <c r="B2" s="472" t="s">
        <v>367</v>
      </c>
      <c r="C2" s="472" t="s">
        <v>368</v>
      </c>
      <c r="D2" s="472" t="s">
        <v>369</v>
      </c>
    </row>
    <row r="3" spans="1:7" ht="21">
      <c r="A3" s="222" t="s">
        <v>503</v>
      </c>
      <c r="B3" s="473">
        <f>Innovation!D24</f>
        <v>0</v>
      </c>
      <c r="C3" s="473">
        <f>Innovation!E24</f>
        <v>0</v>
      </c>
      <c r="D3" s="473">
        <f>Innovation!F24</f>
        <v>0</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7180-89E7-486B-80DD-7657570193FC}">
  <sheetPr>
    <pageSetUpPr fitToPage="1"/>
  </sheetPr>
  <dimension ref="A1:S35"/>
  <sheetViews>
    <sheetView topLeftCell="A9" zoomScale="75" zoomScaleNormal="75" workbookViewId="0">
      <selection activeCell="I39" sqref="I39"/>
    </sheetView>
  </sheetViews>
  <sheetFormatPr defaultColWidth="8.7109375" defaultRowHeight="15"/>
  <sheetData>
    <row r="1" spans="1:14" ht="21">
      <c r="A1" s="213" t="s">
        <v>519</v>
      </c>
      <c r="L1" s="168"/>
      <c r="M1" s="121"/>
      <c r="N1" s="121"/>
    </row>
    <row r="2" spans="1:14" ht="18.75">
      <c r="A2" s="32" t="s">
        <v>1197</v>
      </c>
    </row>
    <row r="3" spans="1:14" s="121" customFormat="1" ht="18.75">
      <c r="A3" s="168"/>
    </row>
    <row r="32" spans="1:19" ht="64.900000000000006" customHeight="1">
      <c r="A32" s="1132" t="s">
        <v>518</v>
      </c>
      <c r="B32" s="1133"/>
      <c r="C32" s="1133"/>
      <c r="D32" s="1133"/>
      <c r="E32" s="1133"/>
      <c r="F32" s="1133"/>
      <c r="G32" s="1133"/>
      <c r="H32" s="1133"/>
      <c r="I32" s="1133"/>
      <c r="J32" s="1133"/>
      <c r="K32" s="1133"/>
      <c r="L32" s="1133"/>
      <c r="M32" s="1133"/>
      <c r="N32" s="1133"/>
      <c r="O32" s="1133"/>
      <c r="P32" s="1133"/>
      <c r="Q32" s="1133"/>
      <c r="R32" s="1133"/>
      <c r="S32" s="1133"/>
    </row>
    <row r="33" spans="1:1">
      <c r="A33" t="s">
        <v>534</v>
      </c>
    </row>
    <row r="34" spans="1:1">
      <c r="A34" t="s">
        <v>846</v>
      </c>
    </row>
    <row r="35" spans="1:1">
      <c r="A35" t="s">
        <v>809</v>
      </c>
    </row>
  </sheetData>
  <mergeCells count="1">
    <mergeCell ref="A32:S32"/>
  </mergeCells>
  <pageMargins left="0.7" right="0.7" top="0.75" bottom="0.75" header="0.3" footer="0.3"/>
  <pageSetup paperSize="9" scale="89" orientation="landscape" horizontalDpi="4294967293" verticalDpi="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5F04-6304-4038-8499-98D9773DFF36}">
  <dimension ref="A1:B4"/>
  <sheetViews>
    <sheetView zoomScaleNormal="100" workbookViewId="0">
      <selection activeCell="G25" sqref="G25"/>
    </sheetView>
  </sheetViews>
  <sheetFormatPr defaultColWidth="8.7109375" defaultRowHeight="15"/>
  <cols>
    <col min="1" max="1" width="3.140625" customWidth="1"/>
    <col min="2" max="2" width="110.42578125" customWidth="1"/>
  </cols>
  <sheetData>
    <row r="1" spans="1:2" ht="15.75">
      <c r="A1" s="36" t="s">
        <v>885</v>
      </c>
    </row>
    <row r="4" spans="1:2">
      <c r="B4" s="122"/>
    </row>
  </sheetData>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ECE2-53DE-4274-8AD7-FCC9B8F1FEAF}">
  <dimension ref="A2:G11"/>
  <sheetViews>
    <sheetView zoomScale="75" zoomScaleNormal="75" workbookViewId="0">
      <selection activeCell="G2" sqref="G2"/>
    </sheetView>
  </sheetViews>
  <sheetFormatPr defaultColWidth="8.7109375" defaultRowHeight="15"/>
  <cols>
    <col min="1" max="1" width="45.7109375" bestFit="1" customWidth="1"/>
    <col min="2" max="2" width="9.7109375" bestFit="1" customWidth="1"/>
    <col min="3" max="3" width="11.28515625" bestFit="1" customWidth="1"/>
    <col min="4" max="4" width="9.7109375" bestFit="1" customWidth="1"/>
    <col min="36" max="36" width="45.140625" bestFit="1" customWidth="1"/>
  </cols>
  <sheetData>
    <row r="2" spans="1:7" ht="21">
      <c r="A2" s="213" t="s">
        <v>886</v>
      </c>
      <c r="B2" s="214"/>
      <c r="C2" s="214"/>
      <c r="D2" s="214"/>
      <c r="G2" s="973" t="s">
        <v>497</v>
      </c>
    </row>
    <row r="3" spans="1:7" ht="18.75">
      <c r="A3" s="32" t="s">
        <v>393</v>
      </c>
      <c r="B3" s="303" t="s">
        <v>367</v>
      </c>
      <c r="C3" s="303" t="s">
        <v>368</v>
      </c>
      <c r="D3" s="303" t="s">
        <v>369</v>
      </c>
    </row>
    <row r="4" spans="1:7" ht="18.75">
      <c r="A4" s="304" t="s">
        <v>376</v>
      </c>
      <c r="B4" s="494">
        <f>'C1 Built Form'!E49</f>
        <v>1872</v>
      </c>
      <c r="C4" s="494">
        <f>'C1 Built Form'!F49</f>
        <v>0</v>
      </c>
      <c r="D4" s="494">
        <f>'C1 Built Form'!G49</f>
        <v>3187.5</v>
      </c>
    </row>
    <row r="5" spans="1:7" ht="18.75">
      <c r="A5" s="305" t="s">
        <v>377</v>
      </c>
      <c r="B5" s="495">
        <f>'C2 Household'!E36</f>
        <v>0</v>
      </c>
      <c r="C5" s="495">
        <f>'C2 Household'!F36</f>
        <v>0</v>
      </c>
      <c r="D5" s="495">
        <f>'C2 Household'!G36</f>
        <v>0</v>
      </c>
    </row>
    <row r="6" spans="1:7" ht="18.75">
      <c r="A6" s="305" t="s">
        <v>378</v>
      </c>
      <c r="B6" s="495">
        <f>'C3 Connections'!E37</f>
        <v>0</v>
      </c>
      <c r="C6" s="495">
        <f>'C3 Connections'!F37</f>
        <v>0</v>
      </c>
      <c r="D6" s="495">
        <f>'C3 Connections'!G37</f>
        <v>11784.4</v>
      </c>
    </row>
    <row r="7" spans="1:7" ht="18.75">
      <c r="A7" s="306" t="s">
        <v>379</v>
      </c>
      <c r="B7" s="496">
        <f>'C4 Interactions'!E54</f>
        <v>37344.9</v>
      </c>
      <c r="C7" s="496">
        <f>'C4 Interactions'!F54</f>
        <v>20670</v>
      </c>
      <c r="D7" s="496">
        <f>'C4 Interactions'!G54</f>
        <v>4176.8999999999996</v>
      </c>
    </row>
    <row r="8" spans="1:7" ht="21">
      <c r="A8" s="307" t="s">
        <v>371</v>
      </c>
      <c r="B8" s="214"/>
      <c r="C8" s="214"/>
      <c r="D8" s="214"/>
    </row>
    <row r="9" spans="1:7" ht="21">
      <c r="A9" s="307" t="s">
        <v>549</v>
      </c>
      <c r="B9" s="214"/>
      <c r="C9" s="214"/>
      <c r="D9" s="214"/>
    </row>
    <row r="10" spans="1:7" ht="21">
      <c r="A10" s="307" t="s">
        <v>550</v>
      </c>
      <c r="B10" s="214"/>
      <c r="C10" s="214"/>
      <c r="D10" s="214"/>
    </row>
    <row r="11" spans="1:7" ht="21">
      <c r="A11" s="307" t="s">
        <v>551</v>
      </c>
      <c r="B11" s="214"/>
      <c r="C11" s="214"/>
      <c r="D11" s="214"/>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80C6-F99A-4601-A782-4860607D5127}">
  <sheetPr>
    <pageSetUpPr fitToPage="1"/>
  </sheetPr>
  <dimension ref="A1:L56"/>
  <sheetViews>
    <sheetView zoomScale="75" zoomScaleNormal="75" workbookViewId="0">
      <selection activeCell="B1" sqref="B1"/>
    </sheetView>
  </sheetViews>
  <sheetFormatPr defaultColWidth="8.7109375" defaultRowHeight="15"/>
  <cols>
    <col min="1" max="1" width="5.7109375" style="122" customWidth="1"/>
    <col min="2" max="2" width="22.7109375" style="3" customWidth="1"/>
    <col min="3" max="3" width="21" style="6" customWidth="1"/>
    <col min="4" max="4" width="10.7109375" style="6" customWidth="1"/>
    <col min="5" max="7" width="6.7109375" style="6" customWidth="1"/>
    <col min="8" max="9" width="40.7109375" style="6" customWidth="1"/>
    <col min="10" max="10" width="10.7109375" style="6" customWidth="1"/>
    <col min="11" max="12" width="40.7109375" style="6" customWidth="1"/>
  </cols>
  <sheetData>
    <row r="1" spans="1:12" ht="21">
      <c r="B1" s="144" t="s">
        <v>1210</v>
      </c>
      <c r="C1" s="144"/>
      <c r="D1" s="94"/>
      <c r="E1" s="94"/>
      <c r="F1" s="94"/>
      <c r="G1" s="94"/>
      <c r="H1" s="973" t="s">
        <v>497</v>
      </c>
      <c r="I1" s="168"/>
      <c r="J1" s="168"/>
      <c r="K1" s="121"/>
      <c r="L1" s="121"/>
    </row>
    <row r="2" spans="1:12" ht="15" customHeight="1">
      <c r="B2" s="291" t="s">
        <v>333</v>
      </c>
      <c r="C2" t="s">
        <v>282</v>
      </c>
      <c r="D2" s="94"/>
      <c r="K2" s="5"/>
    </row>
    <row r="3" spans="1:12" ht="15" customHeight="1">
      <c r="B3" s="501" t="s">
        <v>334</v>
      </c>
      <c r="C3" t="s">
        <v>308</v>
      </c>
      <c r="D3" s="94"/>
    </row>
    <row r="4" spans="1:12" ht="15" customHeight="1">
      <c r="B4" s="292" t="s">
        <v>520</v>
      </c>
      <c r="C4" t="s">
        <v>521</v>
      </c>
      <c r="D4" s="94"/>
    </row>
    <row r="5" spans="1:12" ht="15" customHeight="1">
      <c r="A5"/>
      <c r="B5" s="622" t="s">
        <v>487</v>
      </c>
      <c r="C5"/>
      <c r="D5" s="94"/>
    </row>
    <row r="6" spans="1:12">
      <c r="A6"/>
      <c r="B6" s="293"/>
      <c r="C6" s="35" t="s">
        <v>136</v>
      </c>
      <c r="I6" s="35"/>
      <c r="J6" s="35"/>
    </row>
    <row r="7" spans="1:12">
      <c r="A7"/>
      <c r="B7" s="294"/>
      <c r="C7" s="35" t="s">
        <v>329</v>
      </c>
      <c r="I7" s="35"/>
      <c r="J7" s="35"/>
    </row>
    <row r="8" spans="1:12">
      <c r="A8"/>
      <c r="B8" s="295"/>
      <c r="C8" s="35" t="s">
        <v>380</v>
      </c>
      <c r="I8" s="35"/>
      <c r="J8" s="35"/>
    </row>
    <row r="9" spans="1:12">
      <c r="A9"/>
      <c r="B9" s="296" t="s">
        <v>391</v>
      </c>
      <c r="C9" s="35" t="s">
        <v>392</v>
      </c>
      <c r="I9" s="35"/>
      <c r="J9" s="35"/>
    </row>
    <row r="10" spans="1:12" ht="77.650000000000006" customHeight="1" thickBot="1">
      <c r="A10"/>
      <c r="B10" s="1097"/>
      <c r="C10" s="563"/>
      <c r="D10" s="1139" t="s">
        <v>1173</v>
      </c>
      <c r="E10" s="1140"/>
      <c r="F10" s="1140"/>
      <c r="G10" s="1140"/>
      <c r="H10" s="1140"/>
      <c r="I10" s="1140"/>
      <c r="J10" s="1140"/>
      <c r="K10" s="1140"/>
      <c r="L10" s="1141"/>
    </row>
    <row r="11" spans="1:12" ht="14.65" customHeight="1">
      <c r="A11"/>
      <c r="B11" s="1098"/>
      <c r="C11" s="673"/>
      <c r="D11" s="1142" t="s">
        <v>486</v>
      </c>
      <c r="E11" s="1143"/>
      <c r="F11" s="1143"/>
      <c r="G11" s="1143"/>
      <c r="H11" s="1143"/>
      <c r="I11" s="1144"/>
      <c r="J11" s="1142" t="s">
        <v>479</v>
      </c>
      <c r="K11" s="1145"/>
      <c r="L11" s="1146"/>
    </row>
    <row r="12" spans="1:12" ht="26.25" thickBot="1">
      <c r="A12"/>
      <c r="B12" s="1099" t="s">
        <v>131</v>
      </c>
      <c r="C12" s="575" t="s">
        <v>117</v>
      </c>
      <c r="D12" s="586" t="s">
        <v>480</v>
      </c>
      <c r="E12" s="570" t="s">
        <v>360</v>
      </c>
      <c r="F12" s="571" t="s">
        <v>361</v>
      </c>
      <c r="G12" s="572" t="s">
        <v>362</v>
      </c>
      <c r="H12" s="573" t="s">
        <v>887</v>
      </c>
      <c r="I12" s="587" t="s">
        <v>422</v>
      </c>
      <c r="J12" s="608" t="s">
        <v>480</v>
      </c>
      <c r="K12" s="104" t="s">
        <v>523</v>
      </c>
      <c r="L12" s="609" t="s">
        <v>422</v>
      </c>
    </row>
    <row r="13" spans="1:12" ht="51">
      <c r="A13" s="1167" t="s">
        <v>293</v>
      </c>
      <c r="B13" s="1100" t="s">
        <v>284</v>
      </c>
      <c r="C13" s="583" t="s">
        <v>66</v>
      </c>
      <c r="D13" s="802"/>
      <c r="E13" s="263"/>
      <c r="F13" s="264"/>
      <c r="G13" s="265"/>
      <c r="H13" s="193" t="s">
        <v>208</v>
      </c>
      <c r="I13" s="594" t="s">
        <v>907</v>
      </c>
      <c r="J13" s="792"/>
      <c r="K13" s="178" t="s">
        <v>921</v>
      </c>
      <c r="L13" s="594" t="s">
        <v>544</v>
      </c>
    </row>
    <row r="14" spans="1:12" ht="63.75">
      <c r="A14" s="1167"/>
      <c r="B14" s="1100"/>
      <c r="C14" s="584" t="s">
        <v>227</v>
      </c>
      <c r="D14" s="800"/>
      <c r="E14" s="245"/>
      <c r="F14" s="251"/>
      <c r="G14" s="252"/>
      <c r="H14" s="194" t="s">
        <v>889</v>
      </c>
      <c r="I14" s="595" t="s">
        <v>908</v>
      </c>
      <c r="J14" s="793"/>
      <c r="K14" s="178" t="s">
        <v>922</v>
      </c>
      <c r="L14" s="322"/>
    </row>
    <row r="15" spans="1:12" ht="38.25">
      <c r="A15" s="1167"/>
      <c r="B15" s="1100"/>
      <c r="C15" s="841" t="s">
        <v>528</v>
      </c>
      <c r="D15" s="849"/>
      <c r="E15" s="266"/>
      <c r="F15" s="267"/>
      <c r="G15" s="268"/>
      <c r="H15" s="234" t="s">
        <v>335</v>
      </c>
      <c r="I15" s="428"/>
      <c r="J15" s="1052" t="s">
        <v>330</v>
      </c>
      <c r="K15" s="502" t="s">
        <v>330</v>
      </c>
      <c r="L15" s="821" t="s">
        <v>330</v>
      </c>
    </row>
    <row r="16" spans="1:12" ht="25.5">
      <c r="A16" s="1167" t="s">
        <v>294</v>
      </c>
      <c r="B16" s="1101" t="s">
        <v>81</v>
      </c>
      <c r="C16" s="583" t="s">
        <v>327</v>
      </c>
      <c r="D16" s="802"/>
      <c r="E16" s="242"/>
      <c r="F16" s="243"/>
      <c r="G16" s="244"/>
      <c r="H16" s="200" t="s">
        <v>287</v>
      </c>
      <c r="I16" s="682"/>
      <c r="J16" s="789"/>
      <c r="K16" s="175" t="s">
        <v>408</v>
      </c>
      <c r="L16" s="693"/>
    </row>
    <row r="17" spans="1:12" ht="51">
      <c r="A17" s="1167"/>
      <c r="B17" s="1099"/>
      <c r="C17" s="632" t="s">
        <v>557</v>
      </c>
      <c r="D17" s="850"/>
      <c r="E17" s="385"/>
      <c r="F17" s="386"/>
      <c r="G17" s="387"/>
      <c r="H17" s="201" t="s">
        <v>890</v>
      </c>
      <c r="I17" s="643" t="s">
        <v>344</v>
      </c>
      <c r="J17" s="818"/>
      <c r="K17" s="93" t="s">
        <v>207</v>
      </c>
      <c r="L17" s="669"/>
    </row>
    <row r="18" spans="1:12" ht="127.9" customHeight="1">
      <c r="A18" s="1167" t="s">
        <v>292</v>
      </c>
      <c r="B18" s="1102" t="s">
        <v>291</v>
      </c>
      <c r="C18" s="842" t="s">
        <v>626</v>
      </c>
      <c r="D18" s="851"/>
      <c r="E18" s="249"/>
      <c r="F18" s="250"/>
      <c r="G18" s="1105">
        <f>1875*1.7</f>
        <v>3187.5</v>
      </c>
      <c r="H18" s="192" t="s">
        <v>891</v>
      </c>
      <c r="I18" s="590" t="s">
        <v>909</v>
      </c>
      <c r="J18" s="822"/>
      <c r="K18" s="81" t="s">
        <v>923</v>
      </c>
      <c r="L18" s="590"/>
    </row>
    <row r="19" spans="1:12" ht="37.15" customHeight="1">
      <c r="A19" s="1167"/>
      <c r="B19" s="1099"/>
      <c r="C19" s="843" t="s">
        <v>619</v>
      </c>
      <c r="D19" s="761"/>
      <c r="E19" s="300"/>
      <c r="F19" s="301"/>
      <c r="G19" s="302"/>
      <c r="H19" s="130" t="s">
        <v>208</v>
      </c>
      <c r="I19" s="198"/>
      <c r="J19" s="735"/>
      <c r="K19" s="87" t="s">
        <v>408</v>
      </c>
      <c r="L19" s="634"/>
    </row>
    <row r="20" spans="1:12" ht="61.15" customHeight="1">
      <c r="A20" s="1164" t="s">
        <v>296</v>
      </c>
      <c r="B20" s="1102" t="s">
        <v>401</v>
      </c>
      <c r="C20" s="725" t="s">
        <v>650</v>
      </c>
      <c r="D20" s="765"/>
      <c r="E20" s="336"/>
      <c r="F20" s="337"/>
      <c r="G20" s="338"/>
      <c r="H20" s="208" t="s">
        <v>892</v>
      </c>
      <c r="I20" s="635" t="s">
        <v>911</v>
      </c>
      <c r="J20" s="1051" t="s">
        <v>330</v>
      </c>
      <c r="K20" s="79"/>
      <c r="L20" s="635"/>
    </row>
    <row r="21" spans="1:12" ht="63.75">
      <c r="A21" s="1165"/>
      <c r="B21" s="1103"/>
      <c r="C21" s="752" t="s">
        <v>652</v>
      </c>
      <c r="D21" s="852"/>
      <c r="E21" s="339"/>
      <c r="F21" s="340"/>
      <c r="G21" s="341"/>
      <c r="H21" s="224" t="s">
        <v>1177</v>
      </c>
      <c r="I21" s="706" t="s">
        <v>910</v>
      </c>
      <c r="J21" s="824"/>
      <c r="K21" s="84" t="s">
        <v>408</v>
      </c>
      <c r="L21" s="706"/>
    </row>
    <row r="22" spans="1:12" ht="46.9" customHeight="1">
      <c r="A22" s="1165"/>
      <c r="B22" s="1104"/>
      <c r="C22" s="628" t="s">
        <v>173</v>
      </c>
      <c r="D22" s="774"/>
      <c r="E22" s="342"/>
      <c r="F22" s="343"/>
      <c r="G22" s="344"/>
      <c r="H22" s="192" t="s">
        <v>893</v>
      </c>
      <c r="I22" s="590"/>
      <c r="J22" s="739"/>
      <c r="K22" s="81" t="s">
        <v>408</v>
      </c>
      <c r="L22" s="590"/>
    </row>
    <row r="23" spans="1:12" ht="37.15" customHeight="1">
      <c r="A23" s="1165"/>
      <c r="B23" s="43"/>
      <c r="C23" s="629" t="s">
        <v>653</v>
      </c>
      <c r="D23" s="850"/>
      <c r="E23" s="333"/>
      <c r="F23" s="334"/>
      <c r="G23" s="335"/>
      <c r="H23" s="209" t="s">
        <v>894</v>
      </c>
      <c r="I23" s="634"/>
      <c r="J23" s="825"/>
      <c r="K23" s="77" t="s">
        <v>408</v>
      </c>
      <c r="L23" s="634"/>
    </row>
    <row r="24" spans="1:12" ht="128.65" customHeight="1">
      <c r="A24" s="1165"/>
      <c r="B24" s="1166" t="s">
        <v>68</v>
      </c>
      <c r="C24" s="677" t="s">
        <v>337</v>
      </c>
      <c r="D24" s="772"/>
      <c r="E24" s="345"/>
      <c r="F24" s="346"/>
      <c r="G24" s="347"/>
      <c r="H24" s="308" t="s">
        <v>659</v>
      </c>
      <c r="I24" s="769" t="s">
        <v>912</v>
      </c>
      <c r="J24" s="740" t="s">
        <v>330</v>
      </c>
      <c r="K24" s="91" t="s">
        <v>408</v>
      </c>
      <c r="L24" s="741" t="s">
        <v>338</v>
      </c>
    </row>
    <row r="25" spans="1:12" ht="38.25">
      <c r="A25" s="1168"/>
      <c r="B25" s="1166"/>
      <c r="C25" s="844" t="s">
        <v>69</v>
      </c>
      <c r="D25" s="853"/>
      <c r="E25" s="348"/>
      <c r="F25" s="349"/>
      <c r="G25" s="350"/>
      <c r="H25" s="566" t="s">
        <v>660</v>
      </c>
      <c r="I25" s="854"/>
      <c r="J25" s="1053" t="s">
        <v>330</v>
      </c>
      <c r="K25" s="151"/>
      <c r="L25" s="826"/>
    </row>
    <row r="26" spans="1:12" ht="123">
      <c r="A26" s="233" t="s">
        <v>301</v>
      </c>
      <c r="B26" s="230" t="s">
        <v>888</v>
      </c>
      <c r="C26" s="627" t="s">
        <v>192</v>
      </c>
      <c r="D26" s="855"/>
      <c r="E26" s="411">
        <v>1872</v>
      </c>
      <c r="F26" s="412"/>
      <c r="G26" s="413"/>
      <c r="H26" s="225" t="s">
        <v>896</v>
      </c>
      <c r="I26" s="717" t="s">
        <v>913</v>
      </c>
      <c r="J26" s="815"/>
      <c r="K26" s="471" t="s">
        <v>408</v>
      </c>
      <c r="L26" s="717"/>
    </row>
    <row r="27" spans="1:12" ht="38.25">
      <c r="A27" s="1169" t="s">
        <v>310</v>
      </c>
      <c r="B27" s="156" t="s">
        <v>39</v>
      </c>
      <c r="C27" s="674" t="s">
        <v>304</v>
      </c>
      <c r="D27" s="856"/>
      <c r="E27" s="400"/>
      <c r="F27" s="401"/>
      <c r="G27" s="402"/>
      <c r="H27" s="207" t="s">
        <v>897</v>
      </c>
      <c r="I27" s="640"/>
      <c r="J27" s="827" t="s">
        <v>330</v>
      </c>
      <c r="K27" s="477" t="s">
        <v>330</v>
      </c>
      <c r="L27" s="668" t="s">
        <v>330</v>
      </c>
    </row>
    <row r="28" spans="1:12" ht="114.75">
      <c r="A28" s="1170"/>
      <c r="B28" s="29" t="s">
        <v>43</v>
      </c>
      <c r="C28" s="725" t="s">
        <v>703</v>
      </c>
      <c r="D28" s="857"/>
      <c r="E28" s="379"/>
      <c r="F28" s="395"/>
      <c r="G28" s="390"/>
      <c r="H28" s="208" t="s">
        <v>1156</v>
      </c>
      <c r="I28" s="635" t="s">
        <v>914</v>
      </c>
      <c r="J28" s="828"/>
      <c r="K28" s="79" t="s">
        <v>408</v>
      </c>
      <c r="L28" s="635"/>
    </row>
    <row r="29" spans="1:12" ht="102">
      <c r="A29" s="1170"/>
      <c r="B29" s="40"/>
      <c r="C29" s="628" t="s">
        <v>265</v>
      </c>
      <c r="D29" s="858"/>
      <c r="E29" s="382"/>
      <c r="F29" s="394"/>
      <c r="G29" s="393"/>
      <c r="H29" s="192" t="s">
        <v>895</v>
      </c>
      <c r="I29" s="590" t="s">
        <v>915</v>
      </c>
      <c r="J29" s="829"/>
      <c r="K29" s="81" t="s">
        <v>408</v>
      </c>
      <c r="L29" s="590"/>
    </row>
    <row r="30" spans="1:12" ht="165.75">
      <c r="A30" s="1170"/>
      <c r="B30" s="49"/>
      <c r="C30" s="629" t="s">
        <v>266</v>
      </c>
      <c r="D30" s="859"/>
      <c r="E30" s="385"/>
      <c r="F30" s="386"/>
      <c r="G30" s="387"/>
      <c r="H30" s="209" t="s">
        <v>1157</v>
      </c>
      <c r="I30" s="634" t="s">
        <v>916</v>
      </c>
      <c r="J30" s="830"/>
      <c r="K30" s="77" t="s">
        <v>414</v>
      </c>
      <c r="L30" s="634" t="s">
        <v>356</v>
      </c>
    </row>
    <row r="31" spans="1:12" ht="51">
      <c r="A31" s="1170"/>
      <c r="B31" s="41" t="s">
        <v>116</v>
      </c>
      <c r="C31" s="749" t="s">
        <v>306</v>
      </c>
      <c r="D31" s="860"/>
      <c r="E31" s="456"/>
      <c r="F31" s="457"/>
      <c r="G31" s="458"/>
      <c r="H31" s="211" t="s">
        <v>898</v>
      </c>
      <c r="I31" s="638" t="s">
        <v>917</v>
      </c>
      <c r="J31" s="831"/>
      <c r="K31" s="177" t="s">
        <v>408</v>
      </c>
      <c r="L31" s="638"/>
    </row>
    <row r="32" spans="1:12" ht="72" customHeight="1">
      <c r="A32" s="1170"/>
      <c r="B32" s="159" t="s">
        <v>62</v>
      </c>
      <c r="C32" s="677" t="s">
        <v>64</v>
      </c>
      <c r="D32" s="772"/>
      <c r="E32" s="317"/>
      <c r="F32" s="115"/>
      <c r="G32" s="318"/>
      <c r="H32" s="565" t="s">
        <v>208</v>
      </c>
      <c r="I32" s="861"/>
      <c r="J32" s="832"/>
      <c r="K32" s="91" t="s">
        <v>419</v>
      </c>
      <c r="L32" s="833"/>
    </row>
    <row r="33" spans="1:12" ht="102">
      <c r="A33" s="1170"/>
      <c r="B33" s="63"/>
      <c r="C33" s="845" t="s">
        <v>309</v>
      </c>
      <c r="D33" s="804"/>
      <c r="E33" s="315"/>
      <c r="F33" s="108"/>
      <c r="G33" s="316"/>
      <c r="H33" s="567" t="s">
        <v>208</v>
      </c>
      <c r="I33" s="634" t="s">
        <v>918</v>
      </c>
      <c r="J33" s="794"/>
      <c r="K33" s="93" t="s">
        <v>419</v>
      </c>
      <c r="L33" s="834"/>
    </row>
    <row r="34" spans="1:12" ht="25.5">
      <c r="A34" s="1170"/>
      <c r="B34" s="69" t="s">
        <v>39</v>
      </c>
      <c r="C34" s="630" t="s">
        <v>42</v>
      </c>
      <c r="D34" s="856"/>
      <c r="E34" s="400"/>
      <c r="F34" s="401"/>
      <c r="G34" s="402"/>
      <c r="H34" s="207" t="s">
        <v>897</v>
      </c>
      <c r="I34" s="640" t="s">
        <v>598</v>
      </c>
      <c r="J34" s="827" t="s">
        <v>330</v>
      </c>
      <c r="K34" s="477" t="s">
        <v>330</v>
      </c>
      <c r="L34" s="668" t="s">
        <v>330</v>
      </c>
    </row>
    <row r="35" spans="1:12" ht="51">
      <c r="A35" s="1170"/>
      <c r="B35" s="169" t="s">
        <v>43</v>
      </c>
      <c r="C35" s="630" t="s">
        <v>705</v>
      </c>
      <c r="D35" s="862"/>
      <c r="E35" s="400"/>
      <c r="F35" s="401"/>
      <c r="G35" s="402"/>
      <c r="H35" s="207" t="s">
        <v>899</v>
      </c>
      <c r="I35" s="1050" t="s">
        <v>421</v>
      </c>
      <c r="J35" s="827" t="s">
        <v>330</v>
      </c>
      <c r="K35" s="477" t="s">
        <v>330</v>
      </c>
      <c r="L35" s="668" t="s">
        <v>330</v>
      </c>
    </row>
    <row r="36" spans="1:12" ht="63.75">
      <c r="A36" s="1170"/>
      <c r="B36" s="66" t="s">
        <v>116</v>
      </c>
      <c r="C36" s="720" t="s">
        <v>44</v>
      </c>
      <c r="D36" s="863"/>
      <c r="E36" s="507"/>
      <c r="F36" s="508"/>
      <c r="G36" s="509"/>
      <c r="H36" s="224" t="s">
        <v>900</v>
      </c>
      <c r="I36" s="706" t="s">
        <v>1155</v>
      </c>
      <c r="J36" s="1054" t="s">
        <v>330</v>
      </c>
      <c r="K36" s="486" t="s">
        <v>330</v>
      </c>
      <c r="L36" s="746" t="s">
        <v>330</v>
      </c>
    </row>
    <row r="37" spans="1:12" ht="76.5">
      <c r="A37" s="1170"/>
      <c r="B37" s="170"/>
      <c r="C37" s="625" t="s">
        <v>45</v>
      </c>
      <c r="D37" s="773"/>
      <c r="E37" s="442"/>
      <c r="F37" s="443"/>
      <c r="G37" s="444"/>
      <c r="H37" s="192" t="s">
        <v>901</v>
      </c>
      <c r="I37" s="590"/>
      <c r="J37" s="835"/>
      <c r="K37" s="81" t="s">
        <v>408</v>
      </c>
      <c r="L37" s="590"/>
    </row>
    <row r="38" spans="1:12" ht="38.25">
      <c r="A38" s="1170"/>
      <c r="B38" s="170"/>
      <c r="C38" s="625" t="s">
        <v>267</v>
      </c>
      <c r="D38" s="773"/>
      <c r="E38" s="442"/>
      <c r="F38" s="443"/>
      <c r="G38" s="444"/>
      <c r="H38" s="192" t="s">
        <v>902</v>
      </c>
      <c r="I38" s="590"/>
      <c r="J38" s="1055" t="s">
        <v>330</v>
      </c>
      <c r="K38" s="478" t="s">
        <v>330</v>
      </c>
      <c r="L38" s="666" t="s">
        <v>330</v>
      </c>
    </row>
    <row r="39" spans="1:12" ht="25.5">
      <c r="A39" s="1170"/>
      <c r="B39" s="170"/>
      <c r="C39" s="846" t="s">
        <v>305</v>
      </c>
      <c r="D39" s="773"/>
      <c r="E39" s="445"/>
      <c r="F39" s="446"/>
      <c r="G39" s="447"/>
      <c r="H39" s="225" t="s">
        <v>903</v>
      </c>
      <c r="I39" s="717"/>
      <c r="J39" s="835"/>
      <c r="K39" s="471" t="s">
        <v>408</v>
      </c>
      <c r="L39" s="717"/>
    </row>
    <row r="40" spans="1:12" ht="25.5">
      <c r="A40" s="1170"/>
      <c r="B40" s="171"/>
      <c r="C40" s="846" t="s">
        <v>196</v>
      </c>
      <c r="D40" s="864"/>
      <c r="E40" s="445"/>
      <c r="F40" s="446"/>
      <c r="G40" s="447"/>
      <c r="H40" s="225" t="s">
        <v>899</v>
      </c>
      <c r="I40" s="717"/>
      <c r="J40" s="1053" t="s">
        <v>330</v>
      </c>
      <c r="K40" s="487" t="s">
        <v>330</v>
      </c>
      <c r="L40" s="836" t="s">
        <v>330</v>
      </c>
    </row>
    <row r="41" spans="1:12" ht="25.5">
      <c r="A41" s="1170"/>
      <c r="B41" s="169" t="s">
        <v>62</v>
      </c>
      <c r="C41" s="750" t="s">
        <v>307</v>
      </c>
      <c r="D41" s="865"/>
      <c r="E41" s="504"/>
      <c r="F41" s="503"/>
      <c r="G41" s="505"/>
      <c r="H41" s="287" t="s">
        <v>424</v>
      </c>
      <c r="I41" s="866"/>
      <c r="J41" s="837"/>
      <c r="K41" s="288" t="s">
        <v>207</v>
      </c>
      <c r="L41" s="736"/>
    </row>
    <row r="42" spans="1:12" ht="76.900000000000006" customHeight="1">
      <c r="A42" s="1171"/>
      <c r="B42" s="66" t="s">
        <v>70</v>
      </c>
      <c r="C42" s="844" t="s">
        <v>270</v>
      </c>
      <c r="D42" s="867"/>
      <c r="E42" s="427"/>
      <c r="F42" s="190"/>
      <c r="G42" s="428"/>
      <c r="H42" s="510" t="s">
        <v>904</v>
      </c>
      <c r="I42" s="816" t="s">
        <v>715</v>
      </c>
      <c r="J42" s="838"/>
      <c r="K42" s="135" t="s">
        <v>408</v>
      </c>
      <c r="L42" s="839"/>
    </row>
    <row r="43" spans="1:12" ht="110.25">
      <c r="A43" s="231" t="s">
        <v>312</v>
      </c>
      <c r="B43" s="156" t="s">
        <v>315</v>
      </c>
      <c r="C43" s="674" t="s">
        <v>56</v>
      </c>
      <c r="D43" s="999"/>
      <c r="E43" s="498"/>
      <c r="F43" s="499"/>
      <c r="G43" s="500"/>
      <c r="H43" s="207" t="s">
        <v>432</v>
      </c>
      <c r="I43" s="640"/>
      <c r="J43" s="1000"/>
      <c r="K43" s="74" t="s">
        <v>408</v>
      </c>
      <c r="L43" s="640"/>
    </row>
    <row r="44" spans="1:12" ht="25.5">
      <c r="A44" s="1167" t="s">
        <v>316</v>
      </c>
      <c r="B44" s="136" t="s">
        <v>72</v>
      </c>
      <c r="C44" s="628" t="s">
        <v>442</v>
      </c>
      <c r="D44" s="1009"/>
      <c r="E44" s="382"/>
      <c r="F44" s="394"/>
      <c r="G44" s="393"/>
      <c r="H44" s="192" t="s">
        <v>186</v>
      </c>
      <c r="I44" s="1004" t="s">
        <v>435</v>
      </c>
      <c r="J44" s="1112" t="s">
        <v>330</v>
      </c>
      <c r="K44" s="478" t="s">
        <v>330</v>
      </c>
      <c r="L44" s="666" t="s">
        <v>330</v>
      </c>
    </row>
    <row r="45" spans="1:12" ht="127.5">
      <c r="A45" s="1167"/>
      <c r="B45" s="67"/>
      <c r="C45" s="628" t="s">
        <v>202</v>
      </c>
      <c r="D45" s="858"/>
      <c r="E45" s="382"/>
      <c r="F45" s="394"/>
      <c r="G45" s="393"/>
      <c r="H45" s="192" t="s">
        <v>905</v>
      </c>
      <c r="I45" s="900" t="s">
        <v>919</v>
      </c>
      <c r="J45" s="1008"/>
      <c r="K45" s="81" t="s">
        <v>437</v>
      </c>
      <c r="L45" s="590" t="s">
        <v>924</v>
      </c>
    </row>
    <row r="46" spans="1:12" ht="25.5">
      <c r="A46" s="1167"/>
      <c r="B46" s="68"/>
      <c r="C46" s="704" t="s">
        <v>441</v>
      </c>
      <c r="D46" s="1011"/>
      <c r="E46" s="498"/>
      <c r="F46" s="499"/>
      <c r="G46" s="500"/>
      <c r="H46" s="287" t="s">
        <v>439</v>
      </c>
      <c r="I46" s="738" t="s">
        <v>920</v>
      </c>
      <c r="J46" s="1012"/>
      <c r="K46" s="288" t="s">
        <v>408</v>
      </c>
      <c r="L46" s="738"/>
    </row>
    <row r="47" spans="1:12" ht="51">
      <c r="A47" s="1164" t="s">
        <v>320</v>
      </c>
      <c r="B47" s="230" t="s">
        <v>448</v>
      </c>
      <c r="C47" s="753" t="s">
        <v>447</v>
      </c>
      <c r="D47" s="1030"/>
      <c r="E47" s="551"/>
      <c r="F47" s="552"/>
      <c r="G47" s="553"/>
      <c r="H47" s="287" t="s">
        <v>906</v>
      </c>
      <c r="I47" s="738"/>
      <c r="J47" s="1012"/>
      <c r="K47" s="1034" t="s">
        <v>884</v>
      </c>
      <c r="L47" s="686"/>
    </row>
    <row r="48" spans="1:12" ht="38.25">
      <c r="A48" s="1165"/>
      <c r="B48" s="156" t="s">
        <v>454</v>
      </c>
      <c r="C48" s="753" t="s">
        <v>455</v>
      </c>
      <c r="D48" s="1030"/>
      <c r="E48" s="551"/>
      <c r="F48" s="552"/>
      <c r="G48" s="553"/>
      <c r="H48" s="287" t="s">
        <v>1198</v>
      </c>
      <c r="I48" s="738"/>
      <c r="J48" s="1031"/>
      <c r="K48" s="1034" t="s">
        <v>884</v>
      </c>
      <c r="L48" s="1033"/>
    </row>
    <row r="49" spans="1:12" ht="15.75" thickBot="1">
      <c r="A49" s="1035"/>
      <c r="E49" s="272">
        <f>SUM(E13:E48)</f>
        <v>1872</v>
      </c>
      <c r="F49" s="273">
        <f>SUM(F13:F48)</f>
        <v>0</v>
      </c>
      <c r="G49" s="274">
        <f>SUM(G13:G48)</f>
        <v>3187.5</v>
      </c>
      <c r="L49" s="429"/>
    </row>
    <row r="50" spans="1:12" ht="17.45" customHeight="1" thickBot="1">
      <c r="E50" s="260" t="s">
        <v>360</v>
      </c>
      <c r="F50" s="261" t="s">
        <v>361</v>
      </c>
      <c r="G50" s="262" t="s">
        <v>362</v>
      </c>
    </row>
    <row r="51" spans="1:12" s="1059" customFormat="1" ht="12.75">
      <c r="A51" s="1062" t="s">
        <v>546</v>
      </c>
      <c r="B51" s="1062"/>
      <c r="C51" s="1060"/>
      <c r="D51" s="1060"/>
      <c r="E51" s="1060"/>
      <c r="F51" s="1060"/>
      <c r="G51" s="1062"/>
      <c r="H51" s="1062"/>
      <c r="I51" s="1062"/>
      <c r="J51" s="1062"/>
      <c r="K51" s="1062"/>
      <c r="L51" s="1062"/>
    </row>
    <row r="52" spans="1:12" s="1059" customFormat="1" ht="12.75">
      <c r="A52" s="1062" t="s">
        <v>707</v>
      </c>
      <c r="B52" s="1062"/>
      <c r="C52" s="1060"/>
      <c r="D52" s="1060"/>
      <c r="E52" s="1060"/>
      <c r="F52" s="1060"/>
      <c r="G52" s="1062"/>
      <c r="H52" s="1062"/>
      <c r="I52" s="1062"/>
      <c r="J52" s="1062"/>
      <c r="K52" s="1062"/>
      <c r="L52" s="1062"/>
    </row>
    <row r="53" spans="1:12" s="1059" customFormat="1" ht="12.75">
      <c r="A53" s="1062" t="s">
        <v>533</v>
      </c>
      <c r="B53" s="1062"/>
      <c r="C53" s="1060"/>
      <c r="D53" s="1060"/>
      <c r="E53" s="1060"/>
      <c r="F53" s="1060"/>
      <c r="G53" s="1062"/>
      <c r="H53" s="1062"/>
      <c r="I53" s="1062"/>
      <c r="J53" s="1062"/>
      <c r="K53" s="1062"/>
      <c r="L53" s="1062"/>
    </row>
    <row r="54" spans="1:12" s="1059" customFormat="1" ht="12.75">
      <c r="A54" s="1062" t="s">
        <v>645</v>
      </c>
      <c r="B54" s="1062"/>
      <c r="C54" s="1060"/>
      <c r="D54" s="1060"/>
      <c r="E54" s="1060"/>
      <c r="F54" s="1060"/>
      <c r="G54" s="1062"/>
      <c r="H54" s="1062"/>
      <c r="I54" s="1062"/>
      <c r="J54" s="1062"/>
      <c r="K54" s="1062"/>
      <c r="L54" s="1062"/>
    </row>
    <row r="55" spans="1:12" s="1059" customFormat="1" ht="12.75">
      <c r="A55" s="1062" t="s">
        <v>534</v>
      </c>
      <c r="B55" s="1062"/>
      <c r="C55" s="1060"/>
      <c r="D55" s="1060"/>
      <c r="E55" s="1060"/>
      <c r="F55" s="1060"/>
      <c r="G55" s="1062"/>
      <c r="H55" s="1062"/>
      <c r="I55" s="1062"/>
      <c r="J55" s="1062"/>
      <c r="K55" s="1062"/>
      <c r="L55" s="1062"/>
    </row>
    <row r="56" spans="1:12" s="1059" customFormat="1" ht="12.75">
      <c r="A56" s="1062" t="s">
        <v>708</v>
      </c>
      <c r="B56" s="1062"/>
      <c r="C56" s="1060"/>
      <c r="D56" s="1060"/>
      <c r="E56" s="1060"/>
      <c r="F56" s="1060"/>
      <c r="G56" s="1062"/>
      <c r="H56" s="1062"/>
      <c r="I56" s="1062"/>
      <c r="J56" s="1062"/>
      <c r="K56" s="1062"/>
      <c r="L56" s="1062"/>
    </row>
  </sheetData>
  <mergeCells count="11">
    <mergeCell ref="A47:A48"/>
    <mergeCell ref="D10:L10"/>
    <mergeCell ref="D11:I11"/>
    <mergeCell ref="J11:L11"/>
    <mergeCell ref="B24:B25"/>
    <mergeCell ref="A44:A46"/>
    <mergeCell ref="A20:A25"/>
    <mergeCell ref="A13:A15"/>
    <mergeCell ref="A16:A17"/>
    <mergeCell ref="A18:A19"/>
    <mergeCell ref="A27:A42"/>
  </mergeCells>
  <hyperlinks>
    <hyperlink ref="I35" r:id="rId1" xr:uid="{39F8D377-8B80-4E71-8FEF-1B32E8CCF4A5}"/>
    <hyperlink ref="I44" r:id="rId2" display="https://atlas.id.com.au/perth" xr:uid="{E90E6CC8-408F-4D83-B5C5-2204E796E773}"/>
  </hyperlinks>
  <pageMargins left="0.7" right="0.7" top="0.75" bottom="0.75" header="0.3" footer="0.3"/>
  <pageSetup paperSize="9" scale="50" orientation="landscape" horizontalDpi="4294967293"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B6F2-E47A-40C3-8FD8-0DBBC2864232}">
  <dimension ref="A1:H7"/>
  <sheetViews>
    <sheetView zoomScale="75" zoomScaleNormal="75" workbookViewId="0">
      <selection activeCell="H1" sqref="H1"/>
    </sheetView>
  </sheetViews>
  <sheetFormatPr defaultColWidth="8.7109375" defaultRowHeight="15"/>
  <cols>
    <col min="1" max="1" width="26" customWidth="1"/>
    <col min="2" max="2" width="9.7109375" bestFit="1" customWidth="1"/>
    <col min="4" max="4" width="9.7109375" bestFit="1" customWidth="1"/>
  </cols>
  <sheetData>
    <row r="1" spans="1:8" ht="21">
      <c r="A1" s="213" t="s">
        <v>925</v>
      </c>
      <c r="B1" s="214"/>
      <c r="C1" s="214"/>
      <c r="D1" s="214"/>
      <c r="H1" s="973" t="s">
        <v>497</v>
      </c>
    </row>
    <row r="2" spans="1:8" ht="21">
      <c r="A2" s="214"/>
      <c r="B2" s="472" t="s">
        <v>367</v>
      </c>
      <c r="C2" s="472" t="s">
        <v>368</v>
      </c>
      <c r="D2" s="472" t="s">
        <v>369</v>
      </c>
    </row>
    <row r="3" spans="1:8" ht="21">
      <c r="A3" s="222" t="s">
        <v>504</v>
      </c>
      <c r="B3" s="473">
        <f>'C1 Built Form'!E49</f>
        <v>1872</v>
      </c>
      <c r="C3" s="473">
        <f>'C1 Built Form'!F49</f>
        <v>0</v>
      </c>
      <c r="D3" s="473">
        <f>'C1 Built Form'!G49</f>
        <v>3187.5</v>
      </c>
    </row>
    <row r="4" spans="1:8" ht="21">
      <c r="A4" s="214" t="s">
        <v>371</v>
      </c>
      <c r="B4" s="214"/>
      <c r="C4" s="214"/>
      <c r="D4" s="214"/>
    </row>
    <row r="5" spans="1:8" ht="21">
      <c r="A5" s="214" t="s">
        <v>549</v>
      </c>
      <c r="B5" s="214"/>
      <c r="C5" s="214"/>
      <c r="D5" s="214"/>
    </row>
    <row r="6" spans="1:8" ht="21">
      <c r="A6" s="214" t="s">
        <v>550</v>
      </c>
      <c r="B6" s="214"/>
      <c r="C6" s="214"/>
      <c r="D6" s="214"/>
    </row>
    <row r="7" spans="1:8" ht="21">
      <c r="A7" s="214" t="s">
        <v>551</v>
      </c>
      <c r="B7" s="214"/>
      <c r="C7" s="214"/>
      <c r="D7" s="214"/>
    </row>
  </sheetData>
  <pageMargins left="0.7" right="0.7" top="0.75" bottom="0.75" header="0.3" footer="0.3"/>
  <pageSetup paperSize="9" orientation="portrait" horizontalDpi="4294967293" verticalDpi="0" r:id="rId1"/>
  <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7B5F-3211-4013-90DB-B48BED371B29}">
  <sheetPr>
    <pageSetUpPr fitToPage="1"/>
  </sheetPr>
  <dimension ref="A1:M45"/>
  <sheetViews>
    <sheetView zoomScale="75" zoomScaleNormal="75" workbookViewId="0">
      <selection activeCell="B1" sqref="B1"/>
    </sheetView>
  </sheetViews>
  <sheetFormatPr defaultColWidth="8.7109375" defaultRowHeight="15"/>
  <cols>
    <col min="1" max="1" width="5.7109375" style="122" customWidth="1"/>
    <col min="2" max="2" width="22.28515625" style="3" customWidth="1"/>
    <col min="3" max="3" width="21" style="6" customWidth="1"/>
    <col min="4" max="4" width="10.7109375" style="6" customWidth="1"/>
    <col min="5" max="5" width="6.7109375" style="6" customWidth="1"/>
    <col min="6" max="7" width="7.42578125" style="6" bestFit="1" customWidth="1"/>
    <col min="8" max="9" width="40.7109375" style="6" customWidth="1"/>
    <col min="10" max="10" width="10.7109375" style="6" customWidth="1"/>
    <col min="11" max="12" width="40.7109375" style="6" customWidth="1"/>
  </cols>
  <sheetData>
    <row r="1" spans="1:12" ht="21">
      <c r="B1" s="144" t="s">
        <v>1210</v>
      </c>
      <c r="C1" s="144"/>
      <c r="D1" s="94"/>
      <c r="E1" s="94"/>
      <c r="F1" s="94"/>
      <c r="G1" s="94"/>
      <c r="H1" s="973" t="s">
        <v>497</v>
      </c>
      <c r="I1" s="188"/>
      <c r="J1" s="188"/>
    </row>
    <row r="2" spans="1:12" ht="15" customHeight="1">
      <c r="B2" s="291" t="s">
        <v>333</v>
      </c>
      <c r="C2" t="s">
        <v>282</v>
      </c>
      <c r="D2" s="94"/>
      <c r="K2" s="5"/>
    </row>
    <row r="3" spans="1:12" ht="15" customHeight="1">
      <c r="B3" s="501" t="s">
        <v>334</v>
      </c>
      <c r="C3" t="s">
        <v>308</v>
      </c>
      <c r="D3" s="94"/>
    </row>
    <row r="4" spans="1:12" ht="15" customHeight="1">
      <c r="B4" s="292" t="s">
        <v>520</v>
      </c>
      <c r="C4" t="s">
        <v>521</v>
      </c>
      <c r="D4" s="94"/>
    </row>
    <row r="5" spans="1:12" ht="15" customHeight="1">
      <c r="A5"/>
      <c r="B5" s="622" t="s">
        <v>487</v>
      </c>
      <c r="C5"/>
      <c r="D5" s="94"/>
    </row>
    <row r="6" spans="1:12">
      <c r="A6"/>
      <c r="B6" s="293"/>
      <c r="C6" s="35" t="s">
        <v>136</v>
      </c>
      <c r="I6" s="35"/>
      <c r="J6" s="35"/>
    </row>
    <row r="7" spans="1:12">
      <c r="A7"/>
      <c r="B7" s="294"/>
      <c r="C7" s="35" t="s">
        <v>329</v>
      </c>
      <c r="I7" s="35"/>
      <c r="J7" s="35"/>
    </row>
    <row r="8" spans="1:12">
      <c r="A8"/>
      <c r="B8" s="295"/>
      <c r="C8" s="35" t="s">
        <v>380</v>
      </c>
      <c r="I8" s="35"/>
      <c r="J8" s="35"/>
    </row>
    <row r="9" spans="1:12">
      <c r="A9"/>
      <c r="B9" s="296" t="s">
        <v>391</v>
      </c>
      <c r="C9" s="35" t="s">
        <v>392</v>
      </c>
      <c r="I9" s="35"/>
      <c r="J9" s="35"/>
    </row>
    <row r="10" spans="1:12" ht="77.650000000000006" customHeight="1" thickBot="1">
      <c r="A10"/>
      <c r="B10" s="562"/>
      <c r="C10" s="563"/>
      <c r="D10" s="1139" t="s">
        <v>1173</v>
      </c>
      <c r="E10" s="1140"/>
      <c r="F10" s="1140"/>
      <c r="G10" s="1140"/>
      <c r="H10" s="1140"/>
      <c r="I10" s="1140"/>
      <c r="J10" s="1140"/>
      <c r="K10" s="1140"/>
      <c r="L10" s="1141"/>
    </row>
    <row r="11" spans="1:12" ht="14.65" customHeight="1">
      <c r="A11"/>
      <c r="B11" s="672"/>
      <c r="C11" s="673"/>
      <c r="D11" s="1142" t="s">
        <v>486</v>
      </c>
      <c r="E11" s="1143"/>
      <c r="F11" s="1143"/>
      <c r="G11" s="1143"/>
      <c r="H11" s="1143"/>
      <c r="I11" s="1144"/>
      <c r="J11" s="1142" t="s">
        <v>479</v>
      </c>
      <c r="K11" s="1145"/>
      <c r="L11" s="1146"/>
    </row>
    <row r="12" spans="1:12" ht="25.5">
      <c r="A12"/>
      <c r="B12" s="138" t="s">
        <v>131</v>
      </c>
      <c r="C12" s="575" t="s">
        <v>117</v>
      </c>
      <c r="D12" s="586" t="s">
        <v>480</v>
      </c>
      <c r="E12" s="570" t="s">
        <v>360</v>
      </c>
      <c r="F12" s="571" t="s">
        <v>361</v>
      </c>
      <c r="G12" s="572" t="s">
        <v>362</v>
      </c>
      <c r="H12" s="573" t="s">
        <v>887</v>
      </c>
      <c r="I12" s="647" t="s">
        <v>422</v>
      </c>
      <c r="J12" s="608" t="s">
        <v>480</v>
      </c>
      <c r="K12" s="104" t="s">
        <v>523</v>
      </c>
      <c r="L12" s="609" t="s">
        <v>422</v>
      </c>
    </row>
    <row r="13" spans="1:12" ht="140.25">
      <c r="A13" s="231" t="s">
        <v>317</v>
      </c>
      <c r="B13" s="141" t="s">
        <v>348</v>
      </c>
      <c r="C13" s="140" t="s">
        <v>336</v>
      </c>
      <c r="D13" s="506"/>
      <c r="E13" s="379"/>
      <c r="F13" s="380"/>
      <c r="G13" s="381"/>
      <c r="H13" s="128" t="s">
        <v>953</v>
      </c>
      <c r="I13" s="83" t="s">
        <v>959</v>
      </c>
      <c r="J13" s="810"/>
      <c r="K13" s="75" t="s">
        <v>415</v>
      </c>
      <c r="L13" s="197" t="s">
        <v>967</v>
      </c>
    </row>
    <row r="14" spans="1:12" ht="25.5">
      <c r="A14" s="1164" t="s">
        <v>294</v>
      </c>
      <c r="B14" s="105" t="s">
        <v>137</v>
      </c>
      <c r="C14" s="147" t="s">
        <v>242</v>
      </c>
      <c r="D14" s="239"/>
      <c r="E14" s="242"/>
      <c r="F14" s="243"/>
      <c r="G14" s="244"/>
      <c r="H14" s="1174" t="s">
        <v>951</v>
      </c>
      <c r="I14" s="788" t="s">
        <v>960</v>
      </c>
      <c r="J14" s="789"/>
      <c r="K14" s="1177" t="s">
        <v>965</v>
      </c>
      <c r="L14" s="741"/>
    </row>
    <row r="15" spans="1:12" ht="25.5">
      <c r="A15" s="1181"/>
      <c r="B15" s="106"/>
      <c r="C15" s="148" t="s">
        <v>590</v>
      </c>
      <c r="D15" s="237"/>
      <c r="E15" s="245"/>
      <c r="F15" s="251"/>
      <c r="G15" s="252"/>
      <c r="H15" s="1175"/>
      <c r="I15" s="650" t="s">
        <v>960</v>
      </c>
      <c r="J15" s="790"/>
      <c r="K15" s="1178"/>
      <c r="L15" s="811"/>
    </row>
    <row r="16" spans="1:12" ht="31.15" customHeight="1">
      <c r="A16" s="1181"/>
      <c r="B16" s="107"/>
      <c r="C16" s="149" t="s">
        <v>243</v>
      </c>
      <c r="D16" s="238"/>
      <c r="E16" s="269"/>
      <c r="F16" s="270"/>
      <c r="G16" s="271"/>
      <c r="H16" s="1176"/>
      <c r="I16" s="651" t="s">
        <v>960</v>
      </c>
      <c r="J16" s="812"/>
      <c r="K16" s="1179"/>
      <c r="L16" s="813"/>
    </row>
    <row r="17" spans="1:13" ht="114.75">
      <c r="A17" s="1181"/>
      <c r="B17" s="20" t="s">
        <v>572</v>
      </c>
      <c r="C17" s="240" t="s">
        <v>947</v>
      </c>
      <c r="D17" s="241"/>
      <c r="E17" s="275"/>
      <c r="F17" s="396">
        <f>6576*1.1</f>
        <v>7233.6</v>
      </c>
      <c r="G17" s="276"/>
      <c r="H17" s="226" t="s">
        <v>952</v>
      </c>
      <c r="I17" s="808" t="s">
        <v>1109</v>
      </c>
      <c r="J17" s="1106" t="s">
        <v>330</v>
      </c>
      <c r="K17" s="82" t="s">
        <v>408</v>
      </c>
      <c r="L17" s="705"/>
    </row>
    <row r="18" spans="1:13" ht="76.5">
      <c r="A18" s="1181"/>
      <c r="B18" s="29" t="s">
        <v>946</v>
      </c>
      <c r="C18" s="146" t="s">
        <v>237</v>
      </c>
      <c r="D18" s="236"/>
      <c r="E18" s="242"/>
      <c r="F18" s="243"/>
      <c r="G18" s="244"/>
      <c r="H18" s="208" t="s">
        <v>954</v>
      </c>
      <c r="I18" s="134" t="s">
        <v>961</v>
      </c>
      <c r="J18" s="1078" t="s">
        <v>330</v>
      </c>
      <c r="K18" s="79"/>
      <c r="L18" s="635"/>
    </row>
    <row r="19" spans="1:13" ht="25.5">
      <c r="A19" s="1180"/>
      <c r="B19" s="235" t="s">
        <v>9</v>
      </c>
      <c r="C19" s="139" t="s">
        <v>240</v>
      </c>
      <c r="D19" s="238"/>
      <c r="E19" s="269"/>
      <c r="F19" s="270"/>
      <c r="G19" s="271"/>
      <c r="H19" s="209" t="s">
        <v>182</v>
      </c>
      <c r="I19" s="648"/>
      <c r="J19" s="812"/>
      <c r="K19" s="77"/>
      <c r="L19" s="634"/>
    </row>
    <row r="20" spans="1:13" ht="155.44999999999999" customHeight="1">
      <c r="A20" s="1169" t="s">
        <v>292</v>
      </c>
      <c r="B20" s="29" t="s">
        <v>19</v>
      </c>
      <c r="C20" s="146" t="s">
        <v>627</v>
      </c>
      <c r="D20" s="297"/>
      <c r="E20" s="379">
        <v>3016</v>
      </c>
      <c r="F20" s="395">
        <f>2600*1.11</f>
        <v>2886.0000000000005</v>
      </c>
      <c r="G20" s="330"/>
      <c r="H20" s="208" t="s">
        <v>1158</v>
      </c>
      <c r="I20" s="134" t="s">
        <v>1199</v>
      </c>
      <c r="J20" s="814"/>
      <c r="K20" s="79" t="s">
        <v>408</v>
      </c>
      <c r="L20" s="635"/>
    </row>
    <row r="21" spans="1:13" ht="140.25">
      <c r="A21" s="1182"/>
      <c r="B21" s="41"/>
      <c r="C21" s="158" t="s">
        <v>22</v>
      </c>
      <c r="D21" s="323"/>
      <c r="E21" s="331"/>
      <c r="F21" s="412">
        <v>17784</v>
      </c>
      <c r="G21" s="332"/>
      <c r="H21" s="225" t="s">
        <v>1159</v>
      </c>
      <c r="I21" s="727" t="s">
        <v>1200</v>
      </c>
      <c r="J21" s="815"/>
      <c r="K21" s="471" t="s">
        <v>209</v>
      </c>
      <c r="L21" s="816" t="s">
        <v>209</v>
      </c>
    </row>
    <row r="22" spans="1:13" ht="89.25">
      <c r="A22" s="1169" t="s">
        <v>295</v>
      </c>
      <c r="B22" s="152" t="s">
        <v>23</v>
      </c>
      <c r="C22" s="146" t="s">
        <v>150</v>
      </c>
      <c r="D22" s="324"/>
      <c r="E22" s="328"/>
      <c r="F22" s="329"/>
      <c r="G22" s="330"/>
      <c r="H22" s="208" t="s">
        <v>358</v>
      </c>
      <c r="I22" s="1070" t="s">
        <v>1201</v>
      </c>
      <c r="J22" s="814"/>
      <c r="K22" s="81" t="s">
        <v>408</v>
      </c>
      <c r="L22" s="590" t="s">
        <v>426</v>
      </c>
    </row>
    <row r="23" spans="1:13" ht="63.75">
      <c r="A23" s="1171"/>
      <c r="B23" s="235" t="s">
        <v>24</v>
      </c>
      <c r="C23" s="10" t="s">
        <v>25</v>
      </c>
      <c r="D23" s="325"/>
      <c r="E23" s="333"/>
      <c r="F23" s="334"/>
      <c r="G23" s="335"/>
      <c r="H23" s="209" t="s">
        <v>184</v>
      </c>
      <c r="I23" s="648" t="s">
        <v>614</v>
      </c>
      <c r="J23" s="747" t="s">
        <v>330</v>
      </c>
      <c r="K23" s="77"/>
      <c r="L23" s="634"/>
    </row>
    <row r="24" spans="1:13" ht="38.25">
      <c r="A24" s="1181" t="s">
        <v>296</v>
      </c>
      <c r="B24" s="1150" t="s">
        <v>185</v>
      </c>
      <c r="C24" s="145" t="s">
        <v>26</v>
      </c>
      <c r="D24" s="324"/>
      <c r="E24" s="328"/>
      <c r="F24" s="329"/>
      <c r="G24" s="330"/>
      <c r="H24" s="207" t="s">
        <v>1202</v>
      </c>
      <c r="I24" s="649"/>
      <c r="J24" s="817"/>
      <c r="K24" s="74" t="s">
        <v>408</v>
      </c>
      <c r="L24" s="640"/>
    </row>
    <row r="25" spans="1:13" ht="48" customHeight="1">
      <c r="A25" s="1180"/>
      <c r="B25" s="1150"/>
      <c r="C25" s="145" t="s">
        <v>27</v>
      </c>
      <c r="D25" s="325"/>
      <c r="E25" s="333"/>
      <c r="F25" s="334"/>
      <c r="G25" s="335"/>
      <c r="H25" s="207" t="s">
        <v>1202</v>
      </c>
      <c r="I25" s="649" t="s">
        <v>911</v>
      </c>
      <c r="J25" s="818"/>
      <c r="K25" s="74" t="s">
        <v>408</v>
      </c>
      <c r="L25" s="640"/>
    </row>
    <row r="26" spans="1:13" ht="127.5">
      <c r="A26" s="1182" t="s">
        <v>301</v>
      </c>
      <c r="B26" s="20" t="s">
        <v>34</v>
      </c>
      <c r="C26" s="53" t="s">
        <v>405</v>
      </c>
      <c r="D26" s="497"/>
      <c r="E26" s="1045">
        <v>4846</v>
      </c>
      <c r="F26" s="437"/>
      <c r="G26" s="438"/>
      <c r="H26" s="208" t="s">
        <v>956</v>
      </c>
      <c r="I26" s="134" t="s">
        <v>972</v>
      </c>
      <c r="J26" s="744"/>
      <c r="K26" s="79" t="s">
        <v>408</v>
      </c>
      <c r="L26" s="635" t="s">
        <v>968</v>
      </c>
    </row>
    <row r="27" spans="1:13" ht="72" customHeight="1">
      <c r="A27" s="1170"/>
      <c r="B27" s="41" t="s">
        <v>407</v>
      </c>
      <c r="C27" s="155" t="s">
        <v>694</v>
      </c>
      <c r="D27" s="470"/>
      <c r="E27" s="436"/>
      <c r="F27" s="437"/>
      <c r="G27" s="438"/>
      <c r="H27" s="430" t="s">
        <v>993</v>
      </c>
      <c r="I27" s="809" t="s">
        <v>962</v>
      </c>
      <c r="J27" s="819"/>
      <c r="K27" s="85" t="s">
        <v>408</v>
      </c>
      <c r="L27" s="820" t="s">
        <v>698</v>
      </c>
    </row>
    <row r="28" spans="1:13" ht="153">
      <c r="A28" s="1171"/>
      <c r="B28" s="41"/>
      <c r="C28" s="158" t="s">
        <v>693</v>
      </c>
      <c r="D28" s="991" t="s">
        <v>330</v>
      </c>
      <c r="E28" s="411"/>
      <c r="F28" s="412"/>
      <c r="G28" s="413">
        <f>12470*1.7</f>
        <v>21199</v>
      </c>
      <c r="H28" s="225" t="s">
        <v>957</v>
      </c>
      <c r="I28" s="727" t="s">
        <v>994</v>
      </c>
      <c r="J28" s="992"/>
      <c r="K28" s="471" t="s">
        <v>416</v>
      </c>
      <c r="L28" s="590" t="s">
        <v>969</v>
      </c>
    </row>
    <row r="29" spans="1:13" ht="52.15" customHeight="1">
      <c r="A29" s="231" t="s">
        <v>310</v>
      </c>
      <c r="B29" s="230" t="s">
        <v>62</v>
      </c>
      <c r="C29" s="157" t="s">
        <v>63</v>
      </c>
      <c r="D29" s="989"/>
      <c r="E29" s="504"/>
      <c r="F29" s="503"/>
      <c r="G29" s="505"/>
      <c r="H29" s="207" t="s">
        <v>208</v>
      </c>
      <c r="I29" s="988"/>
      <c r="J29" s="990"/>
      <c r="K29" s="74" t="s">
        <v>408</v>
      </c>
      <c r="L29" s="638"/>
    </row>
    <row r="30" spans="1:13" ht="37.15" customHeight="1">
      <c r="A30" s="1164" t="s">
        <v>312</v>
      </c>
      <c r="B30" s="41" t="s">
        <v>159</v>
      </c>
      <c r="C30" s="749" t="s">
        <v>172</v>
      </c>
      <c r="D30" s="993"/>
      <c r="E30" s="456"/>
      <c r="F30" s="457"/>
      <c r="G30" s="458"/>
      <c r="H30" s="211" t="s">
        <v>190</v>
      </c>
      <c r="I30" s="638"/>
      <c r="J30" s="994"/>
      <c r="K30" s="177" t="s">
        <v>408</v>
      </c>
      <c r="L30" s="995"/>
      <c r="M30" s="996"/>
    </row>
    <row r="31" spans="1:13" ht="57" customHeight="1">
      <c r="A31" s="1180"/>
      <c r="B31" s="29" t="s">
        <v>314</v>
      </c>
      <c r="C31" s="145" t="s">
        <v>160</v>
      </c>
      <c r="D31" s="997"/>
      <c r="E31" s="498"/>
      <c r="F31" s="499"/>
      <c r="G31" s="1003">
        <f>650*1.7</f>
        <v>1105</v>
      </c>
      <c r="H31" s="207" t="s">
        <v>958</v>
      </c>
      <c r="I31" s="649" t="s">
        <v>1203</v>
      </c>
      <c r="J31" s="998"/>
      <c r="K31" s="74" t="s">
        <v>408</v>
      </c>
      <c r="L31" s="640"/>
    </row>
    <row r="32" spans="1:13" ht="51">
      <c r="A32" s="1164" t="s">
        <v>316</v>
      </c>
      <c r="B32" s="66" t="s">
        <v>275</v>
      </c>
      <c r="C32" s="677" t="s">
        <v>74</v>
      </c>
      <c r="D32" s="1015"/>
      <c r="E32" s="436"/>
      <c r="F32" s="437"/>
      <c r="G32" s="438"/>
      <c r="H32" s="200" t="s">
        <v>208</v>
      </c>
      <c r="I32" s="682" t="s">
        <v>963</v>
      </c>
      <c r="J32" s="1010"/>
      <c r="K32" s="91" t="s">
        <v>209</v>
      </c>
      <c r="L32" s="682"/>
    </row>
    <row r="33" spans="1:12" ht="25.5">
      <c r="A33" s="1168"/>
      <c r="B33" s="69"/>
      <c r="C33" s="632" t="s">
        <v>77</v>
      </c>
      <c r="D33" s="1016"/>
      <c r="E33" s="439"/>
      <c r="F33" s="440"/>
      <c r="G33" s="441"/>
      <c r="H33" s="201" t="s">
        <v>211</v>
      </c>
      <c r="I33" s="1014" t="s">
        <v>964</v>
      </c>
      <c r="J33" s="1017"/>
      <c r="K33" s="93" t="s">
        <v>408</v>
      </c>
      <c r="L33" s="643"/>
    </row>
    <row r="34" spans="1:12" ht="153">
      <c r="A34" s="1164" t="s">
        <v>322</v>
      </c>
      <c r="B34" s="136" t="s">
        <v>321</v>
      </c>
      <c r="C34" s="700" t="s">
        <v>948</v>
      </c>
      <c r="D34" s="1023"/>
      <c r="E34" s="529"/>
      <c r="F34" s="525"/>
      <c r="G34" s="530"/>
      <c r="H34" s="535" t="s">
        <v>375</v>
      </c>
      <c r="I34" s="884"/>
      <c r="J34" s="1024"/>
      <c r="K34" s="92" t="s">
        <v>966</v>
      </c>
      <c r="L34" s="642" t="s">
        <v>970</v>
      </c>
    </row>
    <row r="35" spans="1:12" ht="127.5">
      <c r="A35" s="1172"/>
      <c r="B35" s="170"/>
      <c r="C35" s="700" t="s">
        <v>949</v>
      </c>
      <c r="D35" s="1023"/>
      <c r="E35" s="529"/>
      <c r="F35" s="525"/>
      <c r="G35" s="530"/>
      <c r="H35" s="535" t="s">
        <v>375</v>
      </c>
      <c r="I35" s="884"/>
      <c r="J35" s="1024"/>
      <c r="K35" s="92" t="s">
        <v>971</v>
      </c>
      <c r="L35" s="642" t="s">
        <v>990</v>
      </c>
    </row>
    <row r="36" spans="1:12" ht="51">
      <c r="A36" s="1173"/>
      <c r="B36" s="171"/>
      <c r="C36" s="701" t="s">
        <v>950</v>
      </c>
      <c r="D36" s="1025"/>
      <c r="E36" s="538"/>
      <c r="F36" s="166"/>
      <c r="G36" s="539"/>
      <c r="H36" s="536" t="s">
        <v>375</v>
      </c>
      <c r="I36" s="779"/>
      <c r="J36" s="1026"/>
      <c r="K36" s="93" t="s">
        <v>822</v>
      </c>
      <c r="L36" s="643"/>
    </row>
    <row r="37" spans="1:12" ht="15.75" thickBot="1">
      <c r="E37" s="272">
        <f>SUM(E13:E36)</f>
        <v>7862</v>
      </c>
      <c r="F37" s="272">
        <f>SUM(F13:F36)</f>
        <v>27903.599999999999</v>
      </c>
      <c r="G37" s="272">
        <f>SUM(G13:G36)</f>
        <v>22304</v>
      </c>
    </row>
    <row r="38" spans="1:12" ht="15.75" thickBot="1">
      <c r="E38" s="260" t="s">
        <v>360</v>
      </c>
      <c r="F38" s="261" t="s">
        <v>361</v>
      </c>
      <c r="G38" s="262" t="s">
        <v>362</v>
      </c>
    </row>
    <row r="39" spans="1:12" s="1059" customFormat="1" ht="12.75">
      <c r="A39" s="1062" t="s">
        <v>533</v>
      </c>
      <c r="B39" s="1062"/>
      <c r="C39" s="1060"/>
      <c r="D39" s="1060"/>
      <c r="E39" s="1060"/>
      <c r="F39" s="1060"/>
      <c r="G39" s="1062"/>
      <c r="H39" s="1062"/>
      <c r="I39" s="1062"/>
      <c r="J39" s="1062"/>
      <c r="K39" s="1062"/>
      <c r="L39" s="1062"/>
    </row>
    <row r="40" spans="1:12" s="1059" customFormat="1" ht="12.75">
      <c r="A40" s="1062" t="s">
        <v>668</v>
      </c>
      <c r="B40" s="1062"/>
      <c r="C40" s="1060"/>
      <c r="D40" s="1060"/>
      <c r="E40" s="1060"/>
      <c r="F40" s="1060"/>
      <c r="G40" s="1062"/>
      <c r="H40" s="1062"/>
      <c r="I40" s="1062"/>
      <c r="J40" s="1062"/>
      <c r="K40" s="1062"/>
      <c r="L40" s="1062"/>
    </row>
    <row r="41" spans="1:12" s="1059" customFormat="1" ht="12.75">
      <c r="A41" s="1062" t="s">
        <v>645</v>
      </c>
      <c r="B41" s="1062"/>
      <c r="C41" s="1060"/>
      <c r="D41" s="1060"/>
      <c r="E41" s="1060"/>
      <c r="F41" s="1060"/>
      <c r="G41" s="1062"/>
      <c r="H41" s="1062"/>
      <c r="I41" s="1062"/>
      <c r="J41" s="1062"/>
      <c r="K41" s="1062"/>
      <c r="L41" s="1062"/>
    </row>
    <row r="42" spans="1:12" s="1059" customFormat="1" ht="12.75">
      <c r="A42" s="1062" t="s">
        <v>709</v>
      </c>
      <c r="B42" s="1062"/>
      <c r="C42" s="1060"/>
      <c r="D42" s="1060"/>
      <c r="E42" s="1060"/>
      <c r="F42" s="1060"/>
      <c r="G42" s="1062"/>
      <c r="H42" s="1062"/>
      <c r="I42" s="1062"/>
      <c r="J42" s="1062"/>
      <c r="K42" s="1062"/>
      <c r="L42" s="1062"/>
    </row>
    <row r="43" spans="1:12" s="1059" customFormat="1" ht="12.75">
      <c r="A43" s="1062" t="s">
        <v>534</v>
      </c>
      <c r="B43" s="1062"/>
      <c r="C43" s="1060"/>
      <c r="D43" s="1060"/>
      <c r="E43" s="1060"/>
      <c r="F43" s="1060"/>
      <c r="G43" s="1062"/>
      <c r="H43" s="1062"/>
      <c r="I43" s="1062"/>
      <c r="J43" s="1062"/>
      <c r="K43" s="1062"/>
      <c r="L43" s="1062"/>
    </row>
    <row r="44" spans="1:12" s="1059" customFormat="1" ht="12.75">
      <c r="A44" s="1062" t="s">
        <v>547</v>
      </c>
      <c r="B44" s="1062"/>
      <c r="C44" s="1060"/>
      <c r="D44" s="1060"/>
      <c r="E44" s="1060"/>
      <c r="F44" s="1060"/>
      <c r="G44" s="1062"/>
      <c r="H44" s="1062"/>
      <c r="I44" s="1062"/>
      <c r="J44" s="1062"/>
      <c r="K44" s="1062"/>
      <c r="L44" s="1062"/>
    </row>
    <row r="45" spans="1:12" s="1059" customFormat="1" ht="12.75">
      <c r="A45" s="1071"/>
      <c r="B45" s="1062"/>
      <c r="C45" s="1060"/>
      <c r="D45" s="1060"/>
      <c r="E45" s="1060"/>
      <c r="F45" s="1060"/>
      <c r="G45" s="1062"/>
      <c r="H45" s="1062"/>
      <c r="I45" s="1062"/>
      <c r="J45" s="1062"/>
      <c r="K45" s="1062"/>
      <c r="L45" s="1062"/>
    </row>
  </sheetData>
  <mergeCells count="14">
    <mergeCell ref="D10:L10"/>
    <mergeCell ref="D11:I11"/>
    <mergeCell ref="J11:L11"/>
    <mergeCell ref="A34:A36"/>
    <mergeCell ref="B24:B25"/>
    <mergeCell ref="H14:H16"/>
    <mergeCell ref="K14:K16"/>
    <mergeCell ref="A30:A31"/>
    <mergeCell ref="A14:A19"/>
    <mergeCell ref="A22:A23"/>
    <mergeCell ref="A24:A25"/>
    <mergeCell ref="A20:A21"/>
    <mergeCell ref="A26:A28"/>
    <mergeCell ref="A32:A33"/>
  </mergeCells>
  <hyperlinks>
    <hyperlink ref="I33" r:id="rId1" display="https://universaldesignaustralia.net.au/universal-design-new-york/" xr:uid="{5CDA7F88-F045-4B41-8359-817ABDBFCCB6}"/>
  </hyperlinks>
  <pageMargins left="0.7" right="0.7" top="0.75" bottom="0.75" header="0.3" footer="0.3"/>
  <pageSetup paperSize="9" scale="50" orientation="landscape" horizontalDpi="4294967293" r:id="rId2"/>
  <drawing r:id="rId3"/>
  <legacy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AFCC-1F78-40E9-A30A-E57D3E72F1B5}">
  <dimension ref="A1:G7"/>
  <sheetViews>
    <sheetView zoomScale="75" zoomScaleNormal="75" workbookViewId="0">
      <selection activeCell="L9" sqref="L9"/>
    </sheetView>
  </sheetViews>
  <sheetFormatPr defaultColWidth="8.7109375" defaultRowHeight="15"/>
  <cols>
    <col min="1" max="1" width="16.140625" customWidth="1"/>
    <col min="2" max="2" width="9.7109375" bestFit="1" customWidth="1"/>
    <col min="3" max="4" width="11.28515625" bestFit="1" customWidth="1"/>
  </cols>
  <sheetData>
    <row r="1" spans="1:7" ht="21">
      <c r="A1" s="213" t="s">
        <v>973</v>
      </c>
      <c r="B1" s="214"/>
      <c r="C1" s="214"/>
      <c r="D1" s="214"/>
      <c r="G1" s="973" t="s">
        <v>497</v>
      </c>
    </row>
    <row r="2" spans="1:7" ht="21">
      <c r="A2" s="214"/>
      <c r="B2" s="472" t="s">
        <v>367</v>
      </c>
      <c r="C2" s="472" t="s">
        <v>368</v>
      </c>
      <c r="D2" s="472" t="s">
        <v>369</v>
      </c>
    </row>
    <row r="3" spans="1:7" ht="21">
      <c r="A3" s="222" t="s">
        <v>377</v>
      </c>
      <c r="B3" s="473">
        <f>'C2 Household'!E37</f>
        <v>7862</v>
      </c>
      <c r="C3" s="473">
        <f>'C2 Household'!F37</f>
        <v>27903.599999999999</v>
      </c>
      <c r="D3" s="473">
        <f>'C2 Household'!G37</f>
        <v>22304</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DF9C-B87F-4506-9128-ACE320884524}">
  <sheetPr>
    <pageSetUpPr fitToPage="1"/>
  </sheetPr>
  <dimension ref="A1:L42"/>
  <sheetViews>
    <sheetView zoomScale="75" zoomScaleNormal="75" workbookViewId="0">
      <selection activeCell="B1" sqref="B1"/>
    </sheetView>
  </sheetViews>
  <sheetFormatPr defaultColWidth="8.7109375" defaultRowHeight="15"/>
  <cols>
    <col min="1" max="1" width="5.7109375" style="122" customWidth="1"/>
    <col min="2" max="2" width="22.140625" style="3" customWidth="1"/>
    <col min="3" max="3" width="21" style="6" customWidth="1"/>
    <col min="4" max="4" width="10.7109375" style="6" customWidth="1"/>
    <col min="5" max="6" width="6.7109375" style="6" customWidth="1"/>
    <col min="7" max="7" width="7.7109375" style="6" bestFit="1" customWidth="1"/>
    <col min="8" max="9" width="40.7109375" style="6" customWidth="1"/>
    <col min="10" max="10" width="10.7109375" style="6" customWidth="1"/>
    <col min="11" max="12" width="40.7109375" style="6" customWidth="1"/>
  </cols>
  <sheetData>
    <row r="1" spans="1:12" ht="18.75">
      <c r="B1" s="144" t="s">
        <v>1210</v>
      </c>
      <c r="C1" s="144"/>
      <c r="D1" s="94"/>
      <c r="E1" s="94"/>
      <c r="F1" s="94"/>
      <c r="G1" s="94"/>
      <c r="H1" s="172" t="s">
        <v>1204</v>
      </c>
      <c r="I1" s="168"/>
      <c r="J1" s="168"/>
      <c r="K1" s="121"/>
      <c r="L1" s="121"/>
    </row>
    <row r="2" spans="1:12" ht="15" customHeight="1">
      <c r="B2" s="291" t="s">
        <v>333</v>
      </c>
      <c r="C2" t="s">
        <v>282</v>
      </c>
      <c r="D2" s="94"/>
      <c r="K2" s="5"/>
    </row>
    <row r="3" spans="1:12" ht="15" customHeight="1">
      <c r="B3" s="501" t="s">
        <v>334</v>
      </c>
      <c r="C3" t="s">
        <v>308</v>
      </c>
      <c r="D3" s="94"/>
    </row>
    <row r="4" spans="1:12" ht="15" customHeight="1">
      <c r="B4" s="292" t="s">
        <v>520</v>
      </c>
      <c r="C4" t="s">
        <v>521</v>
      </c>
      <c r="D4" s="94"/>
    </row>
    <row r="5" spans="1:12" ht="15" customHeight="1">
      <c r="A5"/>
      <c r="B5" s="622" t="s">
        <v>487</v>
      </c>
      <c r="C5"/>
      <c r="D5" s="94"/>
    </row>
    <row r="6" spans="1:12">
      <c r="A6"/>
      <c r="B6" s="293"/>
      <c r="C6" s="35" t="s">
        <v>136</v>
      </c>
      <c r="I6" s="35"/>
      <c r="J6" s="35"/>
    </row>
    <row r="7" spans="1:12">
      <c r="A7"/>
      <c r="B7" s="294"/>
      <c r="C7" s="35" t="s">
        <v>329</v>
      </c>
      <c r="I7" s="35"/>
      <c r="J7" s="35"/>
    </row>
    <row r="8" spans="1:12">
      <c r="A8"/>
      <c r="B8" s="295"/>
      <c r="C8" s="35" t="s">
        <v>380</v>
      </c>
      <c r="I8" s="35"/>
      <c r="J8" s="35"/>
    </row>
    <row r="9" spans="1:12">
      <c r="A9"/>
      <c r="B9" s="296" t="s">
        <v>391</v>
      </c>
      <c r="C9" s="35" t="s">
        <v>392</v>
      </c>
      <c r="I9" s="35"/>
      <c r="J9" s="35"/>
    </row>
    <row r="10" spans="1:12" ht="77.650000000000006" customHeight="1" thickBot="1">
      <c r="A10"/>
      <c r="B10" s="562"/>
      <c r="C10" s="563"/>
      <c r="D10" s="1139" t="s">
        <v>1172</v>
      </c>
      <c r="E10" s="1140"/>
      <c r="F10" s="1140"/>
      <c r="G10" s="1140"/>
      <c r="H10" s="1140"/>
      <c r="I10" s="1140"/>
      <c r="J10" s="1140"/>
      <c r="K10" s="1140"/>
      <c r="L10" s="1141"/>
    </row>
    <row r="11" spans="1:12" ht="14.65" customHeight="1">
      <c r="A11"/>
      <c r="B11" s="672"/>
      <c r="C11" s="673"/>
      <c r="D11" s="1142" t="s">
        <v>486</v>
      </c>
      <c r="E11" s="1143"/>
      <c r="F11" s="1143"/>
      <c r="G11" s="1143"/>
      <c r="H11" s="1143"/>
      <c r="I11" s="1144"/>
      <c r="J11" s="1142" t="s">
        <v>479</v>
      </c>
      <c r="K11" s="1145"/>
      <c r="L11" s="1146"/>
    </row>
    <row r="12" spans="1:12" ht="25.5">
      <c r="A12"/>
      <c r="B12" s="138" t="s">
        <v>131</v>
      </c>
      <c r="C12" s="575" t="s">
        <v>117</v>
      </c>
      <c r="D12" s="586" t="s">
        <v>480</v>
      </c>
      <c r="E12" s="570" t="s">
        <v>360</v>
      </c>
      <c r="F12" s="571" t="s">
        <v>361</v>
      </c>
      <c r="G12" s="572" t="s">
        <v>362</v>
      </c>
      <c r="H12" s="573" t="s">
        <v>887</v>
      </c>
      <c r="I12" s="587" t="s">
        <v>422</v>
      </c>
      <c r="J12" s="608" t="s">
        <v>480</v>
      </c>
      <c r="K12" s="104" t="s">
        <v>523</v>
      </c>
      <c r="L12" s="609" t="s">
        <v>422</v>
      </c>
    </row>
    <row r="13" spans="1:12" ht="41.65" customHeight="1">
      <c r="A13" s="1181" t="s">
        <v>293</v>
      </c>
      <c r="B13" s="15" t="s">
        <v>85</v>
      </c>
      <c r="C13" s="795" t="s">
        <v>175</v>
      </c>
      <c r="D13" s="796"/>
      <c r="E13" s="242"/>
      <c r="F13" s="243"/>
      <c r="G13" s="244"/>
      <c r="H13" s="127" t="s">
        <v>530</v>
      </c>
      <c r="I13" s="198"/>
      <c r="J13" s="802"/>
      <c r="K13" s="130" t="s">
        <v>408</v>
      </c>
      <c r="L13" s="614" t="s">
        <v>541</v>
      </c>
    </row>
    <row r="14" spans="1:12" ht="140.25">
      <c r="A14" s="1181"/>
      <c r="B14" s="142"/>
      <c r="C14" s="795" t="s">
        <v>975</v>
      </c>
      <c r="D14" s="797"/>
      <c r="E14" s="245"/>
      <c r="F14" s="246"/>
      <c r="G14" s="1108">
        <f>428*1.7</f>
        <v>727.6</v>
      </c>
      <c r="H14" s="127" t="s">
        <v>381</v>
      </c>
      <c r="I14" s="198" t="s">
        <v>984</v>
      </c>
      <c r="J14" s="800"/>
      <c r="K14" s="130" t="s">
        <v>408</v>
      </c>
      <c r="L14" s="614" t="s">
        <v>1205</v>
      </c>
    </row>
    <row r="15" spans="1:12" ht="76.5">
      <c r="A15" s="1180"/>
      <c r="B15" s="143"/>
      <c r="C15" s="795" t="s">
        <v>164</v>
      </c>
      <c r="D15" s="798"/>
      <c r="E15" s="247"/>
      <c r="F15" s="248"/>
      <c r="G15" s="1107">
        <f>2300*1.7</f>
        <v>3910</v>
      </c>
      <c r="H15" s="229" t="s">
        <v>978</v>
      </c>
      <c r="I15" s="196"/>
      <c r="J15" s="980"/>
      <c r="K15" s="129" t="s">
        <v>408</v>
      </c>
      <c r="L15" s="791"/>
    </row>
    <row r="16" spans="1:12" ht="63.75">
      <c r="A16" s="1182" t="s">
        <v>294</v>
      </c>
      <c r="B16" s="105" t="s">
        <v>137</v>
      </c>
      <c r="C16" s="699" t="s">
        <v>242</v>
      </c>
      <c r="D16" s="799"/>
      <c r="E16" s="284"/>
      <c r="F16" s="243"/>
      <c r="G16" s="244"/>
      <c r="H16" s="278" t="s">
        <v>979</v>
      </c>
      <c r="I16" s="682" t="s">
        <v>382</v>
      </c>
      <c r="J16" s="802"/>
      <c r="K16" s="200" t="s">
        <v>965</v>
      </c>
      <c r="L16" s="682" t="s">
        <v>991</v>
      </c>
    </row>
    <row r="17" spans="1:12" ht="63.75">
      <c r="A17" s="1182"/>
      <c r="B17" s="106"/>
      <c r="C17" s="700" t="s">
        <v>590</v>
      </c>
      <c r="D17" s="800"/>
      <c r="E17" s="285"/>
      <c r="F17" s="251"/>
      <c r="G17" s="252"/>
      <c r="H17" s="279" t="s">
        <v>979</v>
      </c>
      <c r="I17" s="642" t="s">
        <v>382</v>
      </c>
      <c r="J17" s="800"/>
      <c r="K17" s="202" t="s">
        <v>965</v>
      </c>
      <c r="L17" s="642" t="s">
        <v>991</v>
      </c>
    </row>
    <row r="18" spans="1:12" ht="63.75">
      <c r="A18" s="1182"/>
      <c r="B18" s="107"/>
      <c r="C18" s="701" t="s">
        <v>243</v>
      </c>
      <c r="D18" s="801"/>
      <c r="E18" s="286"/>
      <c r="F18" s="256"/>
      <c r="G18" s="257"/>
      <c r="H18" s="280" t="s">
        <v>979</v>
      </c>
      <c r="I18" s="643" t="s">
        <v>382</v>
      </c>
      <c r="J18" s="801"/>
      <c r="K18" s="201" t="s">
        <v>965</v>
      </c>
      <c r="L18" s="643" t="s">
        <v>991</v>
      </c>
    </row>
    <row r="19" spans="1:12" ht="30" customHeight="1">
      <c r="A19" s="1183"/>
      <c r="B19" s="29" t="s">
        <v>13</v>
      </c>
      <c r="C19" s="720" t="s">
        <v>14</v>
      </c>
      <c r="D19" s="757"/>
      <c r="E19" s="242"/>
      <c r="F19" s="243"/>
      <c r="G19" s="244"/>
      <c r="H19" s="208" t="s">
        <v>561</v>
      </c>
      <c r="I19" s="635"/>
      <c r="J19" s="1072" t="s">
        <v>330</v>
      </c>
      <c r="K19" s="978" t="s">
        <v>330</v>
      </c>
      <c r="L19" s="732" t="s">
        <v>330</v>
      </c>
    </row>
    <row r="20" spans="1:12" ht="25.5">
      <c r="A20" s="1184"/>
      <c r="B20" s="31"/>
      <c r="C20" s="624" t="s">
        <v>976</v>
      </c>
      <c r="D20" s="761"/>
      <c r="E20" s="247"/>
      <c r="F20" s="256"/>
      <c r="G20" s="257"/>
      <c r="H20" s="209" t="s">
        <v>180</v>
      </c>
      <c r="I20" s="634"/>
      <c r="J20" s="877" t="s">
        <v>330</v>
      </c>
      <c r="K20" s="979" t="s">
        <v>330</v>
      </c>
      <c r="L20" s="745" t="s">
        <v>330</v>
      </c>
    </row>
    <row r="21" spans="1:12" ht="38.25">
      <c r="A21" s="1185" t="s">
        <v>319</v>
      </c>
      <c r="B21" s="15" t="s">
        <v>19</v>
      </c>
      <c r="C21" s="725" t="s">
        <v>977</v>
      </c>
      <c r="D21" s="802"/>
      <c r="E21" s="281"/>
      <c r="F21" s="282"/>
      <c r="G21" s="283"/>
      <c r="H21" s="208" t="s">
        <v>980</v>
      </c>
      <c r="I21" s="635"/>
      <c r="J21" s="1073" t="s">
        <v>330</v>
      </c>
      <c r="K21" s="978" t="s">
        <v>330</v>
      </c>
      <c r="L21" s="732" t="s">
        <v>330</v>
      </c>
    </row>
    <row r="22" spans="1:12" ht="134.65" customHeight="1">
      <c r="A22" s="1186"/>
      <c r="B22" s="171"/>
      <c r="C22" s="629" t="s">
        <v>355</v>
      </c>
      <c r="D22" s="803"/>
      <c r="E22" s="195"/>
      <c r="F22" s="78"/>
      <c r="G22" s="196"/>
      <c r="H22" s="209" t="s">
        <v>981</v>
      </c>
      <c r="I22" s="634" t="s">
        <v>985</v>
      </c>
      <c r="J22" s="767"/>
      <c r="K22" s="209" t="s">
        <v>990</v>
      </c>
      <c r="L22" s="634" t="s">
        <v>436</v>
      </c>
    </row>
    <row r="23" spans="1:12" ht="89.25">
      <c r="A23" s="231" t="s">
        <v>296</v>
      </c>
      <c r="B23" s="106" t="s">
        <v>974</v>
      </c>
      <c r="C23" s="749" t="s">
        <v>402</v>
      </c>
      <c r="D23" s="1114"/>
      <c r="E23" s="1115"/>
      <c r="F23" s="1116"/>
      <c r="G23" s="1117"/>
      <c r="H23" s="211" t="s">
        <v>926</v>
      </c>
      <c r="I23" s="638" t="s">
        <v>911</v>
      </c>
      <c r="J23" s="1114"/>
      <c r="K23" s="211"/>
      <c r="L23" s="638"/>
    </row>
    <row r="24" spans="1:12" ht="102">
      <c r="A24" s="231" t="s">
        <v>318</v>
      </c>
      <c r="B24" s="156" t="s">
        <v>34</v>
      </c>
      <c r="C24" s="630" t="s">
        <v>406</v>
      </c>
      <c r="D24" s="865"/>
      <c r="E24" s="498"/>
      <c r="F24" s="499"/>
      <c r="G24" s="500"/>
      <c r="H24" s="207" t="s">
        <v>982</v>
      </c>
      <c r="I24" s="640"/>
      <c r="J24" s="865"/>
      <c r="K24" s="207" t="s">
        <v>418</v>
      </c>
      <c r="L24" s="640" t="s">
        <v>992</v>
      </c>
    </row>
    <row r="25" spans="1:12" ht="140.25">
      <c r="A25" s="232" t="s">
        <v>310</v>
      </c>
      <c r="B25" s="1118" t="s">
        <v>70</v>
      </c>
      <c r="C25" s="1119" t="s">
        <v>357</v>
      </c>
      <c r="D25" s="1120"/>
      <c r="E25" s="319"/>
      <c r="F25" s="189"/>
      <c r="G25" s="320"/>
      <c r="H25" s="566" t="s">
        <v>210</v>
      </c>
      <c r="I25" s="811" t="s">
        <v>986</v>
      </c>
      <c r="J25" s="1121"/>
      <c r="K25" s="1109" t="s">
        <v>419</v>
      </c>
      <c r="L25" s="826"/>
    </row>
    <row r="26" spans="1:12" ht="45.4" customHeight="1">
      <c r="A26" s="1164" t="s">
        <v>312</v>
      </c>
      <c r="B26" s="29" t="s">
        <v>50</v>
      </c>
      <c r="C26" s="725" t="s">
        <v>249</v>
      </c>
      <c r="D26" s="983"/>
      <c r="E26" s="436"/>
      <c r="F26" s="437"/>
      <c r="G26" s="511">
        <f>2457*1.7</f>
        <v>4176.8999999999996</v>
      </c>
      <c r="H26" s="208" t="s">
        <v>746</v>
      </c>
      <c r="I26" s="635" t="s">
        <v>987</v>
      </c>
      <c r="J26" s="984"/>
      <c r="K26" s="79" t="s">
        <v>408</v>
      </c>
      <c r="L26" s="635"/>
    </row>
    <row r="27" spans="1:12" ht="38.65" customHeight="1">
      <c r="A27" s="1181"/>
      <c r="B27" s="30"/>
      <c r="C27" s="721" t="s">
        <v>67</v>
      </c>
      <c r="D27" s="858"/>
      <c r="E27" s="382"/>
      <c r="F27" s="394"/>
      <c r="G27" s="393"/>
      <c r="H27" s="202" t="s">
        <v>429</v>
      </c>
      <c r="I27" s="642" t="s">
        <v>988</v>
      </c>
      <c r="J27" s="985"/>
      <c r="K27" s="92" t="s">
        <v>427</v>
      </c>
      <c r="L27" s="642" t="s">
        <v>356</v>
      </c>
    </row>
    <row r="28" spans="1:12" ht="27.4" customHeight="1">
      <c r="A28" s="1180"/>
      <c r="B28" s="20" t="s">
        <v>86</v>
      </c>
      <c r="C28" s="725" t="s">
        <v>311</v>
      </c>
      <c r="D28" s="983"/>
      <c r="E28" s="436"/>
      <c r="F28" s="437"/>
      <c r="G28" s="438"/>
      <c r="H28" s="208" t="s">
        <v>433</v>
      </c>
      <c r="I28" s="635"/>
      <c r="J28" s="1001"/>
      <c r="K28" s="79" t="s">
        <v>408</v>
      </c>
      <c r="L28" s="635"/>
    </row>
    <row r="29" spans="1:12" ht="25.5">
      <c r="A29" s="1164" t="s">
        <v>316</v>
      </c>
      <c r="B29" s="29" t="s">
        <v>515</v>
      </c>
      <c r="C29" s="725" t="s">
        <v>200</v>
      </c>
      <c r="D29" s="799"/>
      <c r="E29" s="242"/>
      <c r="F29" s="243"/>
      <c r="G29" s="244"/>
      <c r="H29" s="521" t="s">
        <v>517</v>
      </c>
      <c r="I29" s="635"/>
      <c r="J29" s="802"/>
      <c r="K29" s="124" t="s">
        <v>408</v>
      </c>
      <c r="L29" s="635"/>
    </row>
    <row r="30" spans="1:12" ht="25.5">
      <c r="A30" s="1165"/>
      <c r="B30" s="41"/>
      <c r="C30" s="628" t="s">
        <v>201</v>
      </c>
      <c r="D30" s="800"/>
      <c r="E30" s="253"/>
      <c r="F30" s="254"/>
      <c r="G30" s="255"/>
      <c r="H30" s="522" t="s">
        <v>517</v>
      </c>
      <c r="I30" s="590"/>
      <c r="J30" s="758"/>
      <c r="K30" s="92" t="s">
        <v>408</v>
      </c>
      <c r="L30" s="590"/>
    </row>
    <row r="31" spans="1:12">
      <c r="A31" s="1165"/>
      <c r="B31" s="40"/>
      <c r="C31" s="629" t="s">
        <v>203</v>
      </c>
      <c r="D31" s="801"/>
      <c r="E31" s="247"/>
      <c r="F31" s="256"/>
      <c r="G31" s="257"/>
      <c r="H31" s="661" t="s">
        <v>517</v>
      </c>
      <c r="I31" s="634"/>
      <c r="J31" s="801"/>
      <c r="K31" s="93" t="s">
        <v>516</v>
      </c>
      <c r="L31" s="634"/>
    </row>
    <row r="32" spans="1:12" ht="25.5">
      <c r="A32" s="1165"/>
      <c r="B32" s="173" t="s">
        <v>325</v>
      </c>
      <c r="C32" s="623" t="s">
        <v>60</v>
      </c>
      <c r="D32" s="1005"/>
      <c r="E32" s="436"/>
      <c r="F32" s="437"/>
      <c r="G32" s="438"/>
      <c r="H32" s="208" t="s">
        <v>186</v>
      </c>
      <c r="I32" s="635"/>
      <c r="J32" s="1074" t="s">
        <v>330</v>
      </c>
      <c r="K32" s="1113" t="s">
        <v>330</v>
      </c>
      <c r="L32" s="732" t="s">
        <v>330</v>
      </c>
    </row>
    <row r="33" spans="1:12" ht="51">
      <c r="A33" s="1165"/>
      <c r="B33" s="174"/>
      <c r="C33" s="846" t="s">
        <v>789</v>
      </c>
      <c r="D33" s="1022"/>
      <c r="E33" s="445"/>
      <c r="F33" s="446"/>
      <c r="G33" s="519">
        <f>1747*1.7</f>
        <v>2969.9</v>
      </c>
      <c r="H33" s="225" t="s">
        <v>791</v>
      </c>
      <c r="I33" s="896" t="s">
        <v>989</v>
      </c>
      <c r="J33" s="1021"/>
      <c r="K33" s="199" t="s">
        <v>796</v>
      </c>
      <c r="L33" s="896"/>
    </row>
    <row r="34" spans="1:12" ht="51">
      <c r="A34" s="1165"/>
      <c r="B34" s="66" t="s">
        <v>72</v>
      </c>
      <c r="C34" s="677" t="s">
        <v>76</v>
      </c>
      <c r="D34" s="1020"/>
      <c r="E34" s="436"/>
      <c r="F34" s="437"/>
      <c r="G34" s="438"/>
      <c r="H34" s="200" t="s">
        <v>211</v>
      </c>
      <c r="I34" s="682" t="s">
        <v>798</v>
      </c>
      <c r="J34" s="1010"/>
      <c r="K34" s="91" t="s">
        <v>408</v>
      </c>
      <c r="L34" s="682"/>
    </row>
    <row r="35" spans="1:12" ht="51">
      <c r="A35" s="1165"/>
      <c r="B35" s="170"/>
      <c r="C35" s="679" t="s">
        <v>75</v>
      </c>
      <c r="D35" s="770"/>
      <c r="E35" s="439"/>
      <c r="F35" s="440"/>
      <c r="G35" s="441"/>
      <c r="H35" s="201" t="s">
        <v>210</v>
      </c>
      <c r="I35" s="643" t="s">
        <v>798</v>
      </c>
      <c r="J35" s="770"/>
      <c r="K35" s="201" t="s">
        <v>408</v>
      </c>
      <c r="L35" s="643"/>
    </row>
    <row r="36" spans="1:12" ht="71.650000000000006" customHeight="1">
      <c r="A36" s="231" t="s">
        <v>320</v>
      </c>
      <c r="B36" s="156" t="s">
        <v>450</v>
      </c>
      <c r="C36" s="847" t="s">
        <v>451</v>
      </c>
      <c r="D36" s="1036"/>
      <c r="E36" s="551"/>
      <c r="F36" s="552"/>
      <c r="G36" s="553"/>
      <c r="H36" s="287" t="s">
        <v>983</v>
      </c>
      <c r="I36" s="738"/>
      <c r="J36" s="868" t="s">
        <v>330</v>
      </c>
      <c r="K36" s="1032" t="s">
        <v>330</v>
      </c>
      <c r="L36" s="1033" t="s">
        <v>330</v>
      </c>
    </row>
    <row r="37" spans="1:12">
      <c r="E37" s="258">
        <f>SUM(E13:E35)</f>
        <v>0</v>
      </c>
      <c r="F37" s="258">
        <f>SUM(F13:F35)</f>
        <v>0</v>
      </c>
      <c r="G37" s="259">
        <f>SUM(G13:G35)</f>
        <v>11784.4</v>
      </c>
    </row>
    <row r="38" spans="1:12" ht="15.75" thickBot="1">
      <c r="E38" s="203" t="s">
        <v>360</v>
      </c>
      <c r="F38" s="204" t="s">
        <v>361</v>
      </c>
      <c r="G38" s="205" t="s">
        <v>362</v>
      </c>
    </row>
    <row r="39" spans="1:12" s="1059" customFormat="1" ht="12.75">
      <c r="A39" s="1062" t="s">
        <v>533</v>
      </c>
      <c r="B39" s="1062"/>
      <c r="C39" s="1060"/>
      <c r="D39" s="1060"/>
      <c r="E39" s="1060"/>
      <c r="F39" s="1060"/>
      <c r="G39" s="1062"/>
      <c r="H39" s="1062"/>
      <c r="I39" s="1062"/>
      <c r="J39" s="1062"/>
      <c r="K39" s="1062"/>
      <c r="L39" s="1062"/>
    </row>
    <row r="40" spans="1:12" s="1059" customFormat="1" ht="12.75">
      <c r="A40" s="1062" t="s">
        <v>668</v>
      </c>
      <c r="B40" s="1062"/>
      <c r="C40" s="1060"/>
      <c r="D40" s="1060"/>
      <c r="E40" s="1060"/>
      <c r="F40" s="1060"/>
      <c r="G40" s="1062"/>
      <c r="H40" s="1062"/>
      <c r="I40" s="1062"/>
      <c r="J40" s="1062"/>
      <c r="K40" s="1062"/>
      <c r="L40" s="1062"/>
    </row>
    <row r="41" spans="1:12" s="1059" customFormat="1" ht="12.75">
      <c r="A41" s="1062" t="s">
        <v>645</v>
      </c>
      <c r="B41" s="1062"/>
      <c r="C41" s="1060"/>
      <c r="D41" s="1060"/>
      <c r="E41" s="1060"/>
      <c r="F41" s="1060"/>
      <c r="G41" s="1062"/>
      <c r="H41" s="1062"/>
      <c r="I41" s="1062"/>
      <c r="J41" s="1062"/>
      <c r="K41" s="1062"/>
      <c r="L41" s="1062"/>
    </row>
    <row r="42" spans="1:12" s="1059" customFormat="1" ht="12.75">
      <c r="A42" s="1062" t="s">
        <v>547</v>
      </c>
      <c r="B42" s="1062"/>
      <c r="C42" s="1060"/>
      <c r="D42" s="1060"/>
      <c r="E42" s="1060"/>
      <c r="F42" s="1060"/>
      <c r="G42" s="1062"/>
      <c r="H42" s="1062"/>
      <c r="I42" s="1062"/>
      <c r="J42" s="1062"/>
      <c r="K42" s="1062"/>
      <c r="L42" s="1062"/>
    </row>
  </sheetData>
  <mergeCells count="8">
    <mergeCell ref="A29:A35"/>
    <mergeCell ref="A13:A15"/>
    <mergeCell ref="A16:A20"/>
    <mergeCell ref="D10:L10"/>
    <mergeCell ref="D11:I11"/>
    <mergeCell ref="J11:L11"/>
    <mergeCell ref="A21:A22"/>
    <mergeCell ref="A26:A28"/>
  </mergeCells>
  <pageMargins left="0.7" right="0.7" top="0.75" bottom="0.75" header="0.3" footer="0.3"/>
  <pageSetup paperSize="9" scale="50" orientation="landscape" horizontalDpi="4294967293" r:id="rId1"/>
  <drawing r:id="rId2"/>
  <legacy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BD26-2186-4E89-9B07-AE2999B24809}">
  <dimension ref="A1:G7"/>
  <sheetViews>
    <sheetView zoomScale="75" zoomScaleNormal="75" workbookViewId="0">
      <selection activeCell="L20" sqref="L20"/>
    </sheetView>
  </sheetViews>
  <sheetFormatPr defaultColWidth="8.7109375" defaultRowHeight="15"/>
  <cols>
    <col min="1" max="1" width="19.140625" customWidth="1"/>
    <col min="2" max="2" width="9.7109375" bestFit="1" customWidth="1"/>
    <col min="3" max="4" width="11.28515625" bestFit="1" customWidth="1"/>
  </cols>
  <sheetData>
    <row r="1" spans="1:7" ht="21">
      <c r="A1" s="213" t="s">
        <v>995</v>
      </c>
      <c r="B1" s="214"/>
      <c r="C1" s="214"/>
      <c r="D1" s="214"/>
      <c r="G1" s="973" t="s">
        <v>497</v>
      </c>
    </row>
    <row r="2" spans="1:7" ht="21">
      <c r="A2" s="214"/>
      <c r="B2" s="472" t="s">
        <v>367</v>
      </c>
      <c r="C2" s="472" t="s">
        <v>368</v>
      </c>
      <c r="D2" s="472" t="s">
        <v>369</v>
      </c>
    </row>
    <row r="3" spans="1:7" ht="21">
      <c r="A3" s="222" t="s">
        <v>378</v>
      </c>
      <c r="B3" s="473">
        <f>'C3 Connections'!E37</f>
        <v>0</v>
      </c>
      <c r="C3" s="473">
        <f>'C3 Connections'!F37</f>
        <v>0</v>
      </c>
      <c r="D3" s="473">
        <f>'C3 Connections'!G37</f>
        <v>11784.4</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46BA5-39CD-4C52-B4C5-6BD27EC08C02}">
  <sheetPr>
    <pageSetUpPr fitToPage="1"/>
  </sheetPr>
  <dimension ref="A1:L63"/>
  <sheetViews>
    <sheetView tabSelected="1" zoomScale="75" zoomScaleNormal="75" workbookViewId="0">
      <selection activeCell="B1" sqref="B1"/>
    </sheetView>
  </sheetViews>
  <sheetFormatPr defaultColWidth="8.7109375" defaultRowHeight="15"/>
  <cols>
    <col min="1" max="1" width="5.7109375" style="122" customWidth="1"/>
    <col min="2" max="2" width="21.7109375" style="3" customWidth="1"/>
    <col min="3" max="3" width="21" style="6" customWidth="1"/>
    <col min="4" max="4" width="10.7109375" style="6" customWidth="1"/>
    <col min="5" max="6" width="7.7109375" style="6" bestFit="1" customWidth="1"/>
    <col min="7" max="7" width="6.7109375" style="6" customWidth="1"/>
    <col min="8" max="9" width="40.7109375" style="6" customWidth="1"/>
    <col min="10" max="10" width="10.7109375" style="6" customWidth="1"/>
    <col min="11" max="12" width="40.7109375" style="6" customWidth="1"/>
  </cols>
  <sheetData>
    <row r="1" spans="1:12" ht="18.75">
      <c r="B1" s="144" t="s">
        <v>1210</v>
      </c>
      <c r="C1" s="144"/>
      <c r="D1" s="94"/>
      <c r="E1" s="94"/>
      <c r="F1" s="94"/>
      <c r="G1" s="94"/>
      <c r="H1" s="172" t="s">
        <v>1204</v>
      </c>
      <c r="I1" s="188"/>
      <c r="J1" s="188"/>
    </row>
    <row r="2" spans="1:12" ht="15" customHeight="1">
      <c r="B2" s="291" t="s">
        <v>333</v>
      </c>
      <c r="C2" t="s">
        <v>282</v>
      </c>
      <c r="D2" s="94"/>
      <c r="K2" s="5"/>
    </row>
    <row r="3" spans="1:12" ht="15" customHeight="1">
      <c r="B3" s="501" t="s">
        <v>334</v>
      </c>
      <c r="C3" t="s">
        <v>308</v>
      </c>
      <c r="D3" s="94"/>
    </row>
    <row r="4" spans="1:12" ht="15" customHeight="1">
      <c r="B4" s="292" t="s">
        <v>520</v>
      </c>
      <c r="C4" t="s">
        <v>521</v>
      </c>
      <c r="D4" s="94"/>
    </row>
    <row r="5" spans="1:12" ht="15" customHeight="1">
      <c r="A5"/>
      <c r="B5" s="622" t="s">
        <v>487</v>
      </c>
      <c r="C5"/>
      <c r="D5" s="94"/>
    </row>
    <row r="6" spans="1:12">
      <c r="A6"/>
      <c r="B6" s="293"/>
      <c r="C6" s="35" t="s">
        <v>136</v>
      </c>
      <c r="I6" s="35"/>
      <c r="J6" s="35"/>
    </row>
    <row r="7" spans="1:12">
      <c r="A7"/>
      <c r="B7" s="294"/>
      <c r="C7" s="35" t="s">
        <v>329</v>
      </c>
      <c r="I7" s="35"/>
      <c r="J7" s="35"/>
    </row>
    <row r="8" spans="1:12">
      <c r="A8"/>
      <c r="B8" s="295"/>
      <c r="C8" s="35" t="s">
        <v>380</v>
      </c>
      <c r="I8" s="35"/>
      <c r="J8" s="35"/>
    </row>
    <row r="9" spans="1:12">
      <c r="A9"/>
      <c r="B9" s="296" t="s">
        <v>391</v>
      </c>
      <c r="C9" s="35" t="s">
        <v>392</v>
      </c>
      <c r="I9" s="35"/>
      <c r="J9" s="35"/>
    </row>
    <row r="10" spans="1:12" ht="77.650000000000006" customHeight="1" thickBot="1">
      <c r="A10"/>
      <c r="B10" s="785"/>
      <c r="C10" s="786"/>
      <c r="D10" s="1139" t="s">
        <v>1172</v>
      </c>
      <c r="E10" s="1140"/>
      <c r="F10" s="1140"/>
      <c r="G10" s="1140"/>
      <c r="H10" s="1140"/>
      <c r="I10" s="1140"/>
      <c r="J10" s="1140"/>
      <c r="K10" s="1140"/>
      <c r="L10" s="1141"/>
    </row>
    <row r="11" spans="1:12" ht="14.65" customHeight="1">
      <c r="A11"/>
      <c r="B11" s="787"/>
      <c r="C11" s="673"/>
      <c r="D11" s="1142" t="s">
        <v>486</v>
      </c>
      <c r="E11" s="1143"/>
      <c r="F11" s="1143"/>
      <c r="G11" s="1143"/>
      <c r="H11" s="1143"/>
      <c r="I11" s="1144"/>
      <c r="J11" s="1142" t="s">
        <v>479</v>
      </c>
      <c r="K11" s="1145"/>
      <c r="L11" s="1146"/>
    </row>
    <row r="12" spans="1:12" ht="25.5">
      <c r="A12"/>
      <c r="B12" s="138" t="s">
        <v>131</v>
      </c>
      <c r="C12" s="575" t="s">
        <v>117</v>
      </c>
      <c r="D12" s="586" t="s">
        <v>480</v>
      </c>
      <c r="E12" s="570" t="s">
        <v>360</v>
      </c>
      <c r="F12" s="571" t="s">
        <v>361</v>
      </c>
      <c r="G12" s="572" t="s">
        <v>362</v>
      </c>
      <c r="H12" s="573" t="s">
        <v>887</v>
      </c>
      <c r="I12" s="587" t="s">
        <v>422</v>
      </c>
      <c r="J12" s="608" t="s">
        <v>480</v>
      </c>
      <c r="K12" s="104" t="s">
        <v>523</v>
      </c>
      <c r="L12" s="609" t="s">
        <v>422</v>
      </c>
    </row>
    <row r="13" spans="1:12" ht="74.650000000000006" customHeight="1">
      <c r="A13" s="231" t="s">
        <v>324</v>
      </c>
      <c r="B13" s="14" t="s">
        <v>285</v>
      </c>
      <c r="C13" s="674" t="s">
        <v>1008</v>
      </c>
      <c r="D13" s="1075" t="s">
        <v>330</v>
      </c>
      <c r="E13" s="351"/>
      <c r="F13" s="352"/>
      <c r="G13" s="353"/>
      <c r="H13" s="481" t="s">
        <v>330</v>
      </c>
      <c r="I13" s="668" t="s">
        <v>330</v>
      </c>
      <c r="J13" s="728"/>
      <c r="K13" s="102" t="s">
        <v>1032</v>
      </c>
      <c r="L13" s="681"/>
    </row>
    <row r="14" spans="1:12" ht="127.5">
      <c r="A14" s="1182" t="s">
        <v>294</v>
      </c>
      <c r="B14" s="54" t="s">
        <v>163</v>
      </c>
      <c r="C14" s="749" t="s">
        <v>600</v>
      </c>
      <c r="D14" s="754"/>
      <c r="E14" s="354"/>
      <c r="F14" s="355"/>
      <c r="G14" s="356"/>
      <c r="H14" s="199" t="s">
        <v>1115</v>
      </c>
      <c r="I14" s="755"/>
      <c r="J14" s="1076" t="s">
        <v>330</v>
      </c>
      <c r="K14" s="479" t="s">
        <v>330</v>
      </c>
      <c r="L14" s="729" t="s">
        <v>330</v>
      </c>
    </row>
    <row r="15" spans="1:12" ht="25.5">
      <c r="A15" s="1182"/>
      <c r="B15" s="176" t="s">
        <v>323</v>
      </c>
      <c r="C15" s="630" t="s">
        <v>1007</v>
      </c>
      <c r="D15" s="756"/>
      <c r="E15" s="351"/>
      <c r="F15" s="352"/>
      <c r="G15" s="352"/>
      <c r="H15" s="102" t="s">
        <v>180</v>
      </c>
      <c r="I15" s="681"/>
      <c r="J15" s="730"/>
      <c r="K15" s="102"/>
      <c r="L15" s="681"/>
    </row>
    <row r="16" spans="1:12" ht="25.5">
      <c r="A16" s="1182"/>
      <c r="B16" s="176" t="s">
        <v>93</v>
      </c>
      <c r="C16" s="630" t="s">
        <v>8</v>
      </c>
      <c r="D16" s="756"/>
      <c r="E16" s="351"/>
      <c r="F16" s="352"/>
      <c r="G16" s="352"/>
      <c r="H16" s="74" t="s">
        <v>383</v>
      </c>
      <c r="I16" s="640"/>
      <c r="J16" s="1077" t="s">
        <v>330</v>
      </c>
      <c r="K16" s="477" t="s">
        <v>330</v>
      </c>
      <c r="L16" s="668" t="s">
        <v>330</v>
      </c>
    </row>
    <row r="17" spans="1:12" ht="63.75">
      <c r="A17" s="1182"/>
      <c r="B17" s="29" t="s">
        <v>997</v>
      </c>
      <c r="C17" s="725" t="s">
        <v>233</v>
      </c>
      <c r="D17" s="757"/>
      <c r="E17" s="357"/>
      <c r="F17" s="358"/>
      <c r="G17" s="359"/>
      <c r="H17" s="208" t="s">
        <v>558</v>
      </c>
      <c r="I17" s="729"/>
      <c r="J17" s="1078" t="s">
        <v>330</v>
      </c>
      <c r="K17" s="479" t="s">
        <v>330</v>
      </c>
      <c r="L17" s="732" t="s">
        <v>330</v>
      </c>
    </row>
    <row r="18" spans="1:12" ht="25.5">
      <c r="A18" s="1182"/>
      <c r="B18" s="41"/>
      <c r="C18" s="749" t="s">
        <v>384</v>
      </c>
      <c r="D18" s="758"/>
      <c r="E18" s="360"/>
      <c r="F18" s="361"/>
      <c r="G18" s="362"/>
      <c r="H18" s="225" t="s">
        <v>180</v>
      </c>
      <c r="I18" s="729"/>
      <c r="J18" s="1079" t="s">
        <v>330</v>
      </c>
      <c r="K18" s="479" t="s">
        <v>330</v>
      </c>
      <c r="L18" s="729" t="s">
        <v>330</v>
      </c>
    </row>
    <row r="19" spans="1:12" ht="99.4" customHeight="1">
      <c r="A19" s="1182"/>
      <c r="B19" s="41"/>
      <c r="C19" s="627" t="s">
        <v>1006</v>
      </c>
      <c r="D19" s="759"/>
      <c r="E19" s="363"/>
      <c r="F19" s="364"/>
      <c r="G19" s="365"/>
      <c r="H19" s="289" t="s">
        <v>1160</v>
      </c>
      <c r="I19" s="717"/>
      <c r="J19" s="733"/>
      <c r="K19" s="471" t="s">
        <v>408</v>
      </c>
      <c r="L19" s="717"/>
    </row>
    <row r="20" spans="1:12" ht="99.4" customHeight="1">
      <c r="A20" s="1182"/>
      <c r="B20" s="41"/>
      <c r="C20" s="628" t="s">
        <v>555</v>
      </c>
      <c r="D20" s="592"/>
      <c r="E20" s="382"/>
      <c r="F20" s="394"/>
      <c r="G20" s="393"/>
      <c r="H20" s="192" t="s">
        <v>559</v>
      </c>
      <c r="I20" s="590"/>
      <c r="J20" s="734" t="s">
        <v>330</v>
      </c>
      <c r="K20" s="478" t="s">
        <v>330</v>
      </c>
      <c r="L20" s="666" t="s">
        <v>330</v>
      </c>
    </row>
    <row r="21" spans="1:12" ht="63.75">
      <c r="A21" s="1182"/>
      <c r="B21" s="41" t="s">
        <v>385</v>
      </c>
      <c r="C21" s="628" t="s">
        <v>1005</v>
      </c>
      <c r="D21" s="760"/>
      <c r="E21" s="366"/>
      <c r="F21" s="361"/>
      <c r="G21" s="362"/>
      <c r="H21" s="192" t="s">
        <v>559</v>
      </c>
      <c r="I21" s="590"/>
      <c r="J21" s="1080" t="s">
        <v>330</v>
      </c>
      <c r="K21" s="478" t="s">
        <v>330</v>
      </c>
      <c r="L21" s="666" t="s">
        <v>330</v>
      </c>
    </row>
    <row r="22" spans="1:12" ht="25.5">
      <c r="A22" s="1182"/>
      <c r="B22" s="54"/>
      <c r="C22" s="629" t="s">
        <v>241</v>
      </c>
      <c r="D22" s="761"/>
      <c r="E22" s="367"/>
      <c r="F22" s="368"/>
      <c r="G22" s="369"/>
      <c r="H22" s="209" t="s">
        <v>560</v>
      </c>
      <c r="I22" s="634"/>
      <c r="J22" s="1081" t="s">
        <v>330</v>
      </c>
      <c r="K22" s="478" t="s">
        <v>330</v>
      </c>
      <c r="L22" s="666" t="s">
        <v>330</v>
      </c>
    </row>
    <row r="23" spans="1:12" ht="89.25">
      <c r="A23" s="1182"/>
      <c r="B23" s="66" t="s">
        <v>387</v>
      </c>
      <c r="C23" s="677" t="s">
        <v>1004</v>
      </c>
      <c r="D23" s="762"/>
      <c r="E23" s="357"/>
      <c r="F23" s="358"/>
      <c r="G23" s="359"/>
      <c r="H23" s="200" t="s">
        <v>388</v>
      </c>
      <c r="I23" s="594" t="s">
        <v>1021</v>
      </c>
      <c r="J23" s="1082" t="s">
        <v>330</v>
      </c>
      <c r="K23" s="478" t="s">
        <v>330</v>
      </c>
      <c r="L23" s="666" t="s">
        <v>330</v>
      </c>
    </row>
    <row r="24" spans="1:12" ht="140.25">
      <c r="A24" s="1182"/>
      <c r="B24" s="136"/>
      <c r="C24" s="632" t="s">
        <v>386</v>
      </c>
      <c r="D24" s="763"/>
      <c r="E24" s="370"/>
      <c r="F24" s="368"/>
      <c r="G24" s="369"/>
      <c r="H24" s="201" t="s">
        <v>1116</v>
      </c>
      <c r="I24" s="684" t="s">
        <v>1022</v>
      </c>
      <c r="J24" s="735"/>
      <c r="K24" s="93" t="s">
        <v>207</v>
      </c>
      <c r="L24" s="643"/>
    </row>
    <row r="25" spans="1:12" ht="51">
      <c r="A25" s="1182"/>
      <c r="B25" s="176" t="s">
        <v>389</v>
      </c>
      <c r="C25" s="750" t="s">
        <v>82</v>
      </c>
      <c r="D25" s="756"/>
      <c r="E25" s="351"/>
      <c r="F25" s="352"/>
      <c r="G25" s="353"/>
      <c r="H25" s="287" t="s">
        <v>383</v>
      </c>
      <c r="I25" s="738" t="s">
        <v>1023</v>
      </c>
      <c r="J25" s="728"/>
      <c r="K25" s="288" t="s">
        <v>207</v>
      </c>
      <c r="L25" s="738" t="s">
        <v>570</v>
      </c>
    </row>
    <row r="26" spans="1:12" ht="61.15" customHeight="1">
      <c r="A26" s="1171"/>
      <c r="B26" s="105" t="s">
        <v>998</v>
      </c>
      <c r="C26" s="751" t="s">
        <v>1003</v>
      </c>
      <c r="D26" s="764"/>
      <c r="E26" s="371"/>
      <c r="F26" s="372"/>
      <c r="G26" s="373"/>
      <c r="H26" s="287" t="s">
        <v>390</v>
      </c>
      <c r="I26" s="738"/>
      <c r="J26" s="737"/>
      <c r="K26" s="288" t="s">
        <v>1033</v>
      </c>
      <c r="L26" s="738"/>
    </row>
    <row r="27" spans="1:12" ht="152.44999999999999" customHeight="1">
      <c r="A27" s="1164" t="s">
        <v>292</v>
      </c>
      <c r="B27" s="29" t="s">
        <v>19</v>
      </c>
      <c r="C27" s="725" t="s">
        <v>627</v>
      </c>
      <c r="D27" s="765"/>
      <c r="E27" s="379">
        <v>3016</v>
      </c>
      <c r="F27" s="395">
        <f>2600*1.11</f>
        <v>2886.0000000000005</v>
      </c>
      <c r="G27" s="374"/>
      <c r="H27" s="208" t="s">
        <v>955</v>
      </c>
      <c r="I27" s="635" t="s">
        <v>1206</v>
      </c>
      <c r="J27" s="1051" t="s">
        <v>330</v>
      </c>
      <c r="K27" s="478" t="s">
        <v>330</v>
      </c>
      <c r="L27" s="666" t="s">
        <v>330</v>
      </c>
    </row>
    <row r="28" spans="1:12" ht="140.25">
      <c r="A28" s="1168"/>
      <c r="B28" s="41"/>
      <c r="C28" s="629" t="s">
        <v>22</v>
      </c>
      <c r="D28" s="766"/>
      <c r="E28" s="331"/>
      <c r="F28" s="412">
        <v>17784</v>
      </c>
      <c r="G28" s="375"/>
      <c r="H28" s="209" t="s">
        <v>1161</v>
      </c>
      <c r="I28" s="634" t="s">
        <v>1024</v>
      </c>
      <c r="J28" s="739"/>
      <c r="K28" s="77" t="s">
        <v>1039</v>
      </c>
      <c r="L28" s="634"/>
    </row>
    <row r="29" spans="1:12" ht="102">
      <c r="A29" s="231" t="s">
        <v>295</v>
      </c>
      <c r="B29" s="20" t="s">
        <v>24</v>
      </c>
      <c r="C29" s="629" t="s">
        <v>397</v>
      </c>
      <c r="D29" s="767"/>
      <c r="E29" s="376"/>
      <c r="F29" s="377"/>
      <c r="G29" s="378"/>
      <c r="H29" s="209" t="s">
        <v>1018</v>
      </c>
      <c r="I29" s="634" t="s">
        <v>1025</v>
      </c>
      <c r="J29" s="747" t="s">
        <v>330</v>
      </c>
      <c r="K29" s="478" t="s">
        <v>330</v>
      </c>
      <c r="L29" s="666" t="s">
        <v>330</v>
      </c>
    </row>
    <row r="30" spans="1:12" ht="114.75">
      <c r="A30" s="1164" t="s">
        <v>296</v>
      </c>
      <c r="B30" s="29" t="s">
        <v>68</v>
      </c>
      <c r="C30" s="677" t="s">
        <v>337</v>
      </c>
      <c r="D30" s="768"/>
      <c r="E30" s="467"/>
      <c r="F30" s="468"/>
      <c r="G30" s="469"/>
      <c r="H30" s="308" t="s">
        <v>659</v>
      </c>
      <c r="I30" s="769" t="s">
        <v>1026</v>
      </c>
      <c r="J30" s="1083" t="s">
        <v>330</v>
      </c>
      <c r="K30" s="91" t="s">
        <v>1040</v>
      </c>
      <c r="L30" s="741" t="s">
        <v>338</v>
      </c>
    </row>
    <row r="31" spans="1:12" ht="38.25">
      <c r="A31" s="1168"/>
      <c r="B31" s="54"/>
      <c r="C31" s="632" t="s">
        <v>69</v>
      </c>
      <c r="D31" s="770"/>
      <c r="E31" s="488"/>
      <c r="F31" s="489"/>
      <c r="G31" s="490"/>
      <c r="H31" s="567" t="s">
        <v>1017</v>
      </c>
      <c r="I31" s="813" t="s">
        <v>400</v>
      </c>
      <c r="J31" s="1084" t="s">
        <v>330</v>
      </c>
      <c r="K31" s="476" t="s">
        <v>330</v>
      </c>
      <c r="L31" s="742" t="s">
        <v>330</v>
      </c>
    </row>
    <row r="32" spans="1:12" ht="242.25">
      <c r="A32" s="1169" t="s">
        <v>301</v>
      </c>
      <c r="B32" s="163" t="s">
        <v>888</v>
      </c>
      <c r="C32" s="625" t="s">
        <v>33</v>
      </c>
      <c r="D32" s="771"/>
      <c r="E32" s="382">
        <v>4864</v>
      </c>
      <c r="F32" s="394"/>
      <c r="G32" s="393"/>
      <c r="H32" s="192" t="s">
        <v>1016</v>
      </c>
      <c r="I32" s="590" t="s">
        <v>1038</v>
      </c>
      <c r="J32" s="743"/>
      <c r="K32" s="81" t="s">
        <v>418</v>
      </c>
      <c r="L32" s="1040" t="s">
        <v>1037</v>
      </c>
    </row>
    <row r="33" spans="1:12" ht="140.25">
      <c r="A33" s="1187"/>
      <c r="B33" s="29" t="s">
        <v>1207</v>
      </c>
      <c r="C33" s="623" t="s">
        <v>405</v>
      </c>
      <c r="D33" s="772"/>
      <c r="E33" s="1045">
        <v>4846</v>
      </c>
      <c r="F33" s="437"/>
      <c r="G33" s="438"/>
      <c r="H33" s="208" t="s">
        <v>956</v>
      </c>
      <c r="I33" s="635" t="s">
        <v>1027</v>
      </c>
      <c r="J33" s="744"/>
      <c r="K33" s="79" t="s">
        <v>408</v>
      </c>
      <c r="L33" s="635" t="s">
        <v>992</v>
      </c>
    </row>
    <row r="34" spans="1:12" ht="38.25">
      <c r="A34" s="1187"/>
      <c r="B34" s="163"/>
      <c r="C34" s="625" t="s">
        <v>298</v>
      </c>
      <c r="D34" s="773"/>
      <c r="E34" s="442"/>
      <c r="F34" s="443"/>
      <c r="G34" s="444"/>
      <c r="H34" s="192" t="s">
        <v>899</v>
      </c>
      <c r="I34" s="590"/>
      <c r="J34" s="1055" t="s">
        <v>330</v>
      </c>
      <c r="K34" s="478" t="s">
        <v>330</v>
      </c>
      <c r="L34" s="666" t="s">
        <v>330</v>
      </c>
    </row>
    <row r="35" spans="1:12" ht="191.25">
      <c r="A35" s="1171"/>
      <c r="B35" s="54"/>
      <c r="C35" s="846" t="s">
        <v>403</v>
      </c>
      <c r="D35" s="855"/>
      <c r="E35" s="411">
        <v>18000</v>
      </c>
      <c r="F35" s="412"/>
      <c r="G35" s="413"/>
      <c r="H35" s="225" t="s">
        <v>1015</v>
      </c>
      <c r="I35" s="717" t="s">
        <v>1028</v>
      </c>
      <c r="J35" s="613"/>
      <c r="K35" s="471" t="s">
        <v>1034</v>
      </c>
      <c r="L35" s="717" t="s">
        <v>1036</v>
      </c>
    </row>
    <row r="36" spans="1:12" ht="216.75">
      <c r="A36" s="1164" t="s">
        <v>310</v>
      </c>
      <c r="B36" s="162" t="s">
        <v>195</v>
      </c>
      <c r="C36" s="630" t="s">
        <v>302</v>
      </c>
      <c r="D36" s="999"/>
      <c r="E36" s="1122">
        <f>2724*1.7</f>
        <v>4630.8</v>
      </c>
      <c r="F36" s="499"/>
      <c r="G36" s="500"/>
      <c r="H36" s="207" t="s">
        <v>1019</v>
      </c>
      <c r="I36" s="640" t="s">
        <v>1114</v>
      </c>
      <c r="J36" s="1123"/>
      <c r="K36" s="74" t="s">
        <v>408</v>
      </c>
      <c r="L36" s="640" t="s">
        <v>356</v>
      </c>
    </row>
    <row r="37" spans="1:12" ht="38.25">
      <c r="A37" s="1165"/>
      <c r="B37" s="162" t="s">
        <v>116</v>
      </c>
      <c r="C37" s="725" t="s">
        <v>704</v>
      </c>
      <c r="D37" s="857"/>
      <c r="E37" s="379"/>
      <c r="F37" s="395"/>
      <c r="G37" s="390"/>
      <c r="H37" s="208" t="s">
        <v>1014</v>
      </c>
      <c r="I37" s="635"/>
      <c r="J37" s="984"/>
      <c r="K37" s="79" t="s">
        <v>408</v>
      </c>
      <c r="L37" s="635"/>
    </row>
    <row r="38" spans="1:12" ht="25.5">
      <c r="A38" s="1165"/>
      <c r="B38" s="164"/>
      <c r="C38" s="624" t="s">
        <v>194</v>
      </c>
      <c r="D38" s="1002"/>
      <c r="E38" s="439"/>
      <c r="F38" s="440"/>
      <c r="G38" s="441"/>
      <c r="H38" s="209" t="s">
        <v>184</v>
      </c>
      <c r="I38" s="634" t="s">
        <v>1113</v>
      </c>
      <c r="J38" s="1085" t="s">
        <v>330</v>
      </c>
      <c r="K38" s="480" t="s">
        <v>330</v>
      </c>
      <c r="L38" s="745" t="s">
        <v>330</v>
      </c>
    </row>
    <row r="39" spans="1:12" ht="38.25">
      <c r="A39" s="1164" t="s">
        <v>312</v>
      </c>
      <c r="B39" s="20" t="s">
        <v>50</v>
      </c>
      <c r="C39" s="674" t="s">
        <v>249</v>
      </c>
      <c r="D39" s="999"/>
      <c r="E39" s="498"/>
      <c r="F39" s="499"/>
      <c r="G39" s="1003">
        <f>2457*1.7</f>
        <v>4176.8999999999996</v>
      </c>
      <c r="H39" s="207" t="s">
        <v>1020</v>
      </c>
      <c r="I39" s="640" t="s">
        <v>987</v>
      </c>
      <c r="J39" s="1086"/>
      <c r="K39" s="74" t="s">
        <v>408</v>
      </c>
      <c r="L39" s="640"/>
    </row>
    <row r="40" spans="1:12" ht="51">
      <c r="A40" s="1181"/>
      <c r="B40" s="41" t="s">
        <v>313</v>
      </c>
      <c r="C40" s="752" t="s">
        <v>353</v>
      </c>
      <c r="D40" s="986"/>
      <c r="E40" s="408">
        <v>844</v>
      </c>
      <c r="F40" s="409"/>
      <c r="G40" s="410"/>
      <c r="H40" s="224" t="s">
        <v>1013</v>
      </c>
      <c r="I40" s="706" t="s">
        <v>1029</v>
      </c>
      <c r="J40" s="1087" t="s">
        <v>330</v>
      </c>
      <c r="K40" s="486" t="s">
        <v>330</v>
      </c>
      <c r="L40" s="746" t="s">
        <v>330</v>
      </c>
    </row>
    <row r="41" spans="1:12" ht="38.25">
      <c r="A41" s="1181"/>
      <c r="B41" s="41"/>
      <c r="C41" s="629" t="s">
        <v>145</v>
      </c>
      <c r="D41" s="987"/>
      <c r="E41" s="385"/>
      <c r="F41" s="386"/>
      <c r="G41" s="387"/>
      <c r="H41" s="209" t="s">
        <v>183</v>
      </c>
      <c r="I41" s="634"/>
      <c r="J41" s="1088"/>
      <c r="K41" s="77" t="s">
        <v>408</v>
      </c>
      <c r="L41" s="634" t="s">
        <v>1110</v>
      </c>
    </row>
    <row r="42" spans="1:12" ht="76.5">
      <c r="A42" s="1181"/>
      <c r="B42" s="54"/>
      <c r="C42" s="629" t="s">
        <v>743</v>
      </c>
      <c r="D42" s="859"/>
      <c r="E42" s="385">
        <f>673*1.7</f>
        <v>1144.0999999999999</v>
      </c>
      <c r="F42" s="386"/>
      <c r="G42" s="387"/>
      <c r="H42" s="209" t="s">
        <v>1162</v>
      </c>
      <c r="I42" s="634" t="s">
        <v>1030</v>
      </c>
      <c r="J42" s="1085" t="s">
        <v>330</v>
      </c>
      <c r="K42" s="480" t="s">
        <v>330</v>
      </c>
      <c r="L42" s="745" t="s">
        <v>330</v>
      </c>
    </row>
    <row r="43" spans="1:12" ht="25.5">
      <c r="A43" s="1164" t="s">
        <v>316</v>
      </c>
      <c r="B43" s="20" t="s">
        <v>515</v>
      </c>
      <c r="C43" s="674" t="s">
        <v>61</v>
      </c>
      <c r="D43" s="1126"/>
      <c r="E43" s="1124"/>
      <c r="F43" s="372"/>
      <c r="G43" s="373"/>
      <c r="H43" s="211" t="s">
        <v>186</v>
      </c>
      <c r="I43" s="638"/>
      <c r="J43" s="1125"/>
      <c r="K43" s="211"/>
      <c r="L43" s="638"/>
    </row>
    <row r="44" spans="1:12" ht="153">
      <c r="A44" s="1165"/>
      <c r="B44" s="41" t="s">
        <v>274</v>
      </c>
      <c r="C44" s="752" t="s">
        <v>443</v>
      </c>
      <c r="D44" s="863"/>
      <c r="E44" s="507"/>
      <c r="F44" s="508"/>
      <c r="G44" s="509"/>
      <c r="H44" s="208" t="s">
        <v>1012</v>
      </c>
      <c r="I44" s="635" t="s">
        <v>1112</v>
      </c>
      <c r="J44" s="984"/>
      <c r="K44" s="79" t="s">
        <v>408</v>
      </c>
      <c r="L44" s="635"/>
    </row>
    <row r="45" spans="1:12" ht="204">
      <c r="A45" s="1165"/>
      <c r="B45" s="41"/>
      <c r="C45" s="628" t="s">
        <v>444</v>
      </c>
      <c r="D45" s="1006"/>
      <c r="E45" s="442"/>
      <c r="F45" s="443"/>
      <c r="G45" s="444"/>
      <c r="H45" s="192" t="s">
        <v>1011</v>
      </c>
      <c r="I45" s="590" t="s">
        <v>1111</v>
      </c>
      <c r="J45" s="1007"/>
      <c r="K45" s="81" t="s">
        <v>408</v>
      </c>
      <c r="L45" s="590"/>
    </row>
    <row r="46" spans="1:12" ht="180" customHeight="1">
      <c r="A46" s="1165"/>
      <c r="B46" s="41"/>
      <c r="C46" s="628" t="s">
        <v>1002</v>
      </c>
      <c r="D46" s="1006"/>
      <c r="E46" s="442"/>
      <c r="F46" s="443"/>
      <c r="G46" s="444"/>
      <c r="H46" s="192" t="s">
        <v>1010</v>
      </c>
      <c r="I46" s="590" t="s">
        <v>1163</v>
      </c>
      <c r="J46" s="1007"/>
      <c r="K46" s="81" t="s">
        <v>408</v>
      </c>
      <c r="L46" s="590"/>
    </row>
    <row r="47" spans="1:12" ht="114.75">
      <c r="A47" s="1164" t="s">
        <v>278</v>
      </c>
      <c r="B47" s="29" t="s">
        <v>461</v>
      </c>
      <c r="C47" s="753" t="s">
        <v>831</v>
      </c>
      <c r="D47" s="1028"/>
      <c r="E47" s="554"/>
      <c r="F47" s="555"/>
      <c r="G47" s="556"/>
      <c r="H47" s="202" t="s">
        <v>1009</v>
      </c>
      <c r="I47" s="1048" t="s">
        <v>508</v>
      </c>
      <c r="J47" s="1029"/>
      <c r="K47" s="92" t="s">
        <v>1208</v>
      </c>
      <c r="L47" s="642"/>
    </row>
    <row r="48" spans="1:12" ht="114.75">
      <c r="A48" s="1181"/>
      <c r="B48" s="41"/>
      <c r="C48" s="753" t="s">
        <v>859</v>
      </c>
      <c r="D48" s="1027"/>
      <c r="E48" s="554"/>
      <c r="F48" s="555"/>
      <c r="G48" s="556"/>
      <c r="H48" s="202" t="s">
        <v>468</v>
      </c>
      <c r="I48" s="1048" t="s">
        <v>1107</v>
      </c>
      <c r="J48" s="975" t="s">
        <v>330</v>
      </c>
      <c r="K48" s="485" t="s">
        <v>330</v>
      </c>
      <c r="L48" s="976" t="s">
        <v>330</v>
      </c>
    </row>
    <row r="49" spans="1:12" ht="51">
      <c r="A49" s="1181"/>
      <c r="B49" s="41"/>
      <c r="C49" s="753" t="s">
        <v>929</v>
      </c>
      <c r="D49" s="1027"/>
      <c r="E49" s="554"/>
      <c r="F49" s="555"/>
      <c r="G49" s="556"/>
      <c r="H49" s="202" t="s">
        <v>469</v>
      </c>
      <c r="I49" s="642" t="s">
        <v>1148</v>
      </c>
      <c r="J49" s="975" t="s">
        <v>330</v>
      </c>
      <c r="K49" s="485" t="s">
        <v>330</v>
      </c>
      <c r="L49" s="976" t="s">
        <v>330</v>
      </c>
    </row>
    <row r="50" spans="1:12" ht="76.5">
      <c r="A50" s="1181"/>
      <c r="B50" s="20" t="s">
        <v>514</v>
      </c>
      <c r="C50" s="753" t="s">
        <v>838</v>
      </c>
      <c r="D50" s="1027"/>
      <c r="E50" s="554"/>
      <c r="F50" s="555"/>
      <c r="G50" s="556"/>
      <c r="H50" s="202" t="s">
        <v>466</v>
      </c>
      <c r="I50" s="642" t="s">
        <v>513</v>
      </c>
      <c r="J50" s="1013"/>
      <c r="K50" s="92" t="s">
        <v>475</v>
      </c>
      <c r="L50" s="642"/>
    </row>
    <row r="51" spans="1:12" ht="63.75">
      <c r="A51" s="1164" t="s">
        <v>320</v>
      </c>
      <c r="B51" s="156" t="s">
        <v>999</v>
      </c>
      <c r="C51" s="753" t="s">
        <v>459</v>
      </c>
      <c r="D51" s="1030"/>
      <c r="E51" s="551"/>
      <c r="F51" s="552"/>
      <c r="G51" s="553"/>
      <c r="H51" s="287" t="s">
        <v>874</v>
      </c>
      <c r="I51" s="738" t="s">
        <v>1031</v>
      </c>
      <c r="J51" s="1031"/>
      <c r="K51" s="288" t="s">
        <v>883</v>
      </c>
      <c r="L51" s="738"/>
    </row>
    <row r="52" spans="1:12" ht="76.5">
      <c r="A52" s="1181"/>
      <c r="B52" s="156" t="s">
        <v>1000</v>
      </c>
      <c r="C52" s="753" t="s">
        <v>457</v>
      </c>
      <c r="D52" s="731"/>
      <c r="E52" s="371"/>
      <c r="F52" s="372"/>
      <c r="G52" s="373"/>
      <c r="H52" s="1089" t="s">
        <v>460</v>
      </c>
      <c r="I52" s="782"/>
      <c r="J52" s="748"/>
      <c r="K52" s="288" t="s">
        <v>1035</v>
      </c>
      <c r="L52" s="977"/>
    </row>
    <row r="53" spans="1:12" ht="25.5">
      <c r="A53" s="1168"/>
      <c r="B53" s="156" t="s">
        <v>328</v>
      </c>
      <c r="C53" s="1037" t="s">
        <v>1001</v>
      </c>
      <c r="D53" s="731"/>
      <c r="E53" s="371"/>
      <c r="F53" s="372"/>
      <c r="G53" s="373"/>
      <c r="H53" s="227"/>
      <c r="I53" s="782"/>
      <c r="J53" s="748"/>
      <c r="K53" s="72"/>
      <c r="L53" s="977"/>
    </row>
    <row r="54" spans="1:12" ht="15.75" thickBot="1">
      <c r="E54" s="272">
        <f>SUM(E13:E53)</f>
        <v>37344.9</v>
      </c>
      <c r="F54" s="272">
        <f>SUM(F13:F53)</f>
        <v>20670</v>
      </c>
      <c r="G54" s="277">
        <f>SUM(G13:G53)</f>
        <v>4176.8999999999996</v>
      </c>
    </row>
    <row r="55" spans="1:12" ht="15.75" thickBot="1">
      <c r="E55" s="260" t="s">
        <v>360</v>
      </c>
      <c r="F55" s="261" t="s">
        <v>361</v>
      </c>
      <c r="G55" s="262" t="s">
        <v>362</v>
      </c>
    </row>
    <row r="56" spans="1:12" s="1059" customFormat="1" ht="12.75">
      <c r="A56" s="1062" t="s">
        <v>546</v>
      </c>
      <c r="B56" s="1062"/>
      <c r="C56" s="1060"/>
      <c r="D56" s="1060"/>
      <c r="E56" s="1060"/>
      <c r="F56" s="1060"/>
      <c r="G56" s="1062"/>
      <c r="H56" s="1062"/>
      <c r="I56" s="1062"/>
      <c r="J56" s="1062"/>
      <c r="K56" s="1062"/>
      <c r="L56" s="1062"/>
    </row>
    <row r="57" spans="1:12" s="1059" customFormat="1" ht="12.75">
      <c r="A57" s="1062" t="s">
        <v>533</v>
      </c>
      <c r="B57" s="1062"/>
      <c r="C57" s="1060"/>
      <c r="D57" s="1060"/>
      <c r="E57" s="1060"/>
      <c r="F57" s="1060"/>
      <c r="G57" s="1062"/>
      <c r="H57" s="1062"/>
      <c r="I57" s="1062"/>
      <c r="J57" s="1062"/>
      <c r="K57" s="1062"/>
      <c r="L57" s="1062"/>
    </row>
    <row r="58" spans="1:12" s="1059" customFormat="1" ht="12.75">
      <c r="A58" s="1062" t="s">
        <v>668</v>
      </c>
      <c r="B58" s="1062"/>
      <c r="C58" s="1060"/>
      <c r="D58" s="1060"/>
      <c r="E58" s="1060"/>
      <c r="F58" s="1060"/>
      <c r="G58" s="1062"/>
      <c r="H58" s="1062"/>
      <c r="I58" s="1062"/>
      <c r="J58" s="1062"/>
      <c r="K58" s="1062"/>
      <c r="L58" s="1062"/>
    </row>
    <row r="59" spans="1:12" s="1059" customFormat="1" ht="12.75">
      <c r="A59" s="1062" t="s">
        <v>645</v>
      </c>
      <c r="B59" s="1062"/>
      <c r="C59" s="1060"/>
      <c r="D59" s="1060"/>
      <c r="E59" s="1060"/>
      <c r="F59" s="1060"/>
      <c r="G59" s="1062"/>
      <c r="H59" s="1062"/>
      <c r="I59" s="1062"/>
      <c r="J59" s="1062"/>
      <c r="K59" s="1062"/>
      <c r="L59" s="1062"/>
    </row>
    <row r="60" spans="1:12" s="1059" customFormat="1" ht="12.75">
      <c r="A60" s="1062" t="s">
        <v>709</v>
      </c>
      <c r="B60" s="1062"/>
      <c r="C60" s="1060"/>
      <c r="D60" s="1060"/>
      <c r="E60" s="1060"/>
      <c r="F60" s="1060"/>
      <c r="G60" s="1062"/>
      <c r="H60" s="1062"/>
      <c r="I60" s="1062"/>
      <c r="J60" s="1062"/>
      <c r="K60" s="1062"/>
      <c r="L60" s="1062"/>
    </row>
    <row r="61" spans="1:12" s="1059" customFormat="1" ht="12.75">
      <c r="A61" s="1062" t="s">
        <v>534</v>
      </c>
      <c r="B61" s="1062"/>
      <c r="C61" s="1060"/>
      <c r="D61" s="1060"/>
      <c r="E61" s="1060"/>
      <c r="F61" s="1060"/>
      <c r="G61" s="1062"/>
      <c r="H61" s="1062"/>
      <c r="I61" s="1062"/>
      <c r="J61" s="1062"/>
      <c r="K61" s="1062"/>
      <c r="L61" s="1062"/>
    </row>
    <row r="62" spans="1:12" s="1059" customFormat="1" ht="12.75">
      <c r="A62" s="1062" t="s">
        <v>547</v>
      </c>
      <c r="B62" s="1062"/>
      <c r="C62" s="1060"/>
      <c r="D62" s="1060"/>
      <c r="E62" s="1060"/>
      <c r="F62" s="1060"/>
      <c r="G62" s="1062"/>
      <c r="H62" s="1062"/>
      <c r="I62" s="1062"/>
      <c r="J62" s="1062"/>
      <c r="K62" s="1062"/>
      <c r="L62" s="1062"/>
    </row>
    <row r="63" spans="1:12" s="1059" customFormat="1" ht="12.75">
      <c r="A63" s="1062" t="s">
        <v>846</v>
      </c>
      <c r="B63" s="1062"/>
      <c r="C63" s="1060"/>
      <c r="D63" s="1060"/>
      <c r="E63" s="1060"/>
      <c r="F63" s="1060"/>
      <c r="G63" s="1062"/>
      <c r="H63" s="1062"/>
      <c r="I63" s="1062"/>
      <c r="J63" s="1062"/>
      <c r="K63" s="1062"/>
      <c r="L63" s="1062"/>
    </row>
  </sheetData>
  <mergeCells count="12">
    <mergeCell ref="A30:A31"/>
    <mergeCell ref="A32:A35"/>
    <mergeCell ref="A51:A53"/>
    <mergeCell ref="A36:A38"/>
    <mergeCell ref="A39:A42"/>
    <mergeCell ref="A43:A46"/>
    <mergeCell ref="A47:A50"/>
    <mergeCell ref="D10:L10"/>
    <mergeCell ref="D11:I11"/>
    <mergeCell ref="J11:L11"/>
    <mergeCell ref="A14:A26"/>
    <mergeCell ref="A27:A28"/>
  </mergeCells>
  <hyperlinks>
    <hyperlink ref="I48" r:id="rId1" display="https://www.wa.gov.au/organisation/department-of-communities/social-housing-economic-recovery-package _x000a_" xr:uid="{0BFB2E26-94E1-428C-9BB8-9CE40B2B5FC8}"/>
    <hyperlink ref="I47" r:id="rId2" location=":~:text=Key%20Statistics%201%20Almost%20half%20of%20new%20residential,average%20increase%20of%20%243%2C941%20per%20dwelling.%20More%20items" display="https://www.abs.gov.au/articles/building-new-home-construction-cost-changes#:~:text=Key%20Statistics%201%20Almost%20half%20of%20new%20residential,average%20increase%20of%20%243%2C941%20per%20dwelling.%20More%20items" xr:uid="{DC87E053-A572-4C58-A819-5F39168F4E4D}"/>
  </hyperlinks>
  <pageMargins left="0.7" right="0.7" top="0.75" bottom="0.75" header="0.3" footer="0.3"/>
  <pageSetup paperSize="9" scale="50" orientation="landscape" horizontalDpi="4294967293" r:id="rId3"/>
  <drawing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F9CA-05B1-4C4B-8078-2462A4EB8333}">
  <dimension ref="A1:G7"/>
  <sheetViews>
    <sheetView topLeftCell="A5" zoomScale="75" zoomScaleNormal="75" workbookViewId="0">
      <selection activeCell="P23" sqref="P23"/>
    </sheetView>
  </sheetViews>
  <sheetFormatPr defaultColWidth="8.7109375" defaultRowHeight="15"/>
  <cols>
    <col min="1" max="1" width="20.42578125" customWidth="1"/>
    <col min="2" max="3" width="11.28515625" bestFit="1" customWidth="1"/>
  </cols>
  <sheetData>
    <row r="1" spans="1:7" ht="21">
      <c r="A1" s="213" t="s">
        <v>996</v>
      </c>
      <c r="B1" s="214"/>
      <c r="C1" s="214"/>
      <c r="D1" s="214"/>
      <c r="G1" s="973" t="s">
        <v>497</v>
      </c>
    </row>
    <row r="2" spans="1:7" ht="21">
      <c r="A2" s="214"/>
      <c r="B2" s="472" t="s">
        <v>367</v>
      </c>
      <c r="C2" s="472" t="s">
        <v>368</v>
      </c>
      <c r="D2" s="472" t="s">
        <v>369</v>
      </c>
    </row>
    <row r="3" spans="1:7" ht="21">
      <c r="A3" s="222" t="s">
        <v>379</v>
      </c>
      <c r="B3" s="473">
        <f>'C4 Interactions'!E54</f>
        <v>37344.9</v>
      </c>
      <c r="C3" s="473">
        <f>'C4 Interactions'!F54</f>
        <v>20670</v>
      </c>
      <c r="D3" s="473">
        <f>'C4 Interactions'!G54</f>
        <v>4176.8999999999996</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D659-44F0-4CB0-B3E4-714A827D2ED7}">
  <dimension ref="A1:B18"/>
  <sheetViews>
    <sheetView zoomScaleNormal="100" workbookViewId="0">
      <selection activeCell="D26" sqref="D26"/>
    </sheetView>
  </sheetViews>
  <sheetFormatPr defaultColWidth="8.7109375" defaultRowHeight="15"/>
  <cols>
    <col min="1" max="1" width="26.42578125" customWidth="1"/>
  </cols>
  <sheetData>
    <row r="1" spans="1:2">
      <c r="A1" s="119" t="s">
        <v>280</v>
      </c>
    </row>
    <row r="10" spans="1:2">
      <c r="A10" s="119" t="s">
        <v>283</v>
      </c>
    </row>
    <row r="11" spans="1:2">
      <c r="A11" s="291" t="s">
        <v>333</v>
      </c>
      <c r="B11" t="s">
        <v>282</v>
      </c>
    </row>
    <row r="12" spans="1:2">
      <c r="A12" s="501" t="s">
        <v>334</v>
      </c>
      <c r="B12" t="s">
        <v>308</v>
      </c>
    </row>
    <row r="13" spans="1:2">
      <c r="A13" s="292" t="s">
        <v>520</v>
      </c>
      <c r="B13" t="s">
        <v>521</v>
      </c>
    </row>
    <row r="14" spans="1:2">
      <c r="A14" s="622" t="s">
        <v>487</v>
      </c>
    </row>
    <row r="15" spans="1:2">
      <c r="A15" s="293"/>
      <c r="B15" s="35" t="s">
        <v>136</v>
      </c>
    </row>
    <row r="16" spans="1:2">
      <c r="A16" s="294"/>
      <c r="B16" s="35" t="s">
        <v>329</v>
      </c>
    </row>
    <row r="17" spans="1:2">
      <c r="A17" s="295"/>
      <c r="B17" s="35" t="s">
        <v>380</v>
      </c>
    </row>
    <row r="18" spans="1:2">
      <c r="A18" s="296" t="s">
        <v>391</v>
      </c>
      <c r="B18" s="35" t="s">
        <v>392</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CC495-8BB2-4E21-98F3-AB0224B47B6A}">
  <sheetPr>
    <pageSetUpPr fitToPage="1"/>
  </sheetPr>
  <dimension ref="A1:M31"/>
  <sheetViews>
    <sheetView zoomScale="75" zoomScaleNormal="75" workbookViewId="0">
      <selection activeCell="M1" sqref="M1"/>
    </sheetView>
  </sheetViews>
  <sheetFormatPr defaultColWidth="8.7109375" defaultRowHeight="15"/>
  <cols>
    <col min="1" max="1" width="20.7109375" style="3" customWidth="1"/>
    <col min="2" max="2" width="21" style="6" customWidth="1"/>
    <col min="3" max="3" width="9.7109375" style="6" customWidth="1"/>
    <col min="4" max="5" width="6.7109375" style="6" customWidth="1"/>
    <col min="6" max="6" width="8.28515625" style="6" customWidth="1"/>
    <col min="7" max="8" width="28.7109375" style="6" customWidth="1"/>
    <col min="9" max="9" width="9.7109375" style="6" customWidth="1"/>
    <col min="10" max="11" width="28.7109375" style="6" customWidth="1"/>
    <col min="12" max="13" width="28.7109375" style="8" customWidth="1"/>
  </cols>
  <sheetData>
    <row r="1" spans="1:13" ht="21">
      <c r="A1" s="1134" t="s">
        <v>219</v>
      </c>
      <c r="B1" s="1134"/>
      <c r="C1" s="94"/>
      <c r="D1" s="94"/>
      <c r="E1" s="94"/>
      <c r="F1" s="94"/>
      <c r="G1" s="973" t="s">
        <v>497</v>
      </c>
      <c r="H1" s="121"/>
      <c r="I1" s="121"/>
      <c r="J1" s="121"/>
    </row>
    <row r="2" spans="1:13" ht="15" customHeight="1">
      <c r="A2" s="291" t="s">
        <v>333</v>
      </c>
      <c r="B2" t="s">
        <v>282</v>
      </c>
      <c r="C2" s="94"/>
      <c r="J2" s="5"/>
      <c r="L2"/>
      <c r="M2"/>
    </row>
    <row r="3" spans="1:13" ht="15" customHeight="1">
      <c r="A3" s="501" t="s">
        <v>334</v>
      </c>
      <c r="B3" t="s">
        <v>308</v>
      </c>
      <c r="C3" s="94"/>
      <c r="L3"/>
      <c r="M3"/>
    </row>
    <row r="4" spans="1:13" ht="15" customHeight="1">
      <c r="A4" s="292" t="s">
        <v>520</v>
      </c>
      <c r="B4" t="s">
        <v>521</v>
      </c>
      <c r="C4" s="94"/>
      <c r="L4"/>
      <c r="M4"/>
    </row>
    <row r="5" spans="1:13" ht="15" customHeight="1">
      <c r="A5" s="622" t="s">
        <v>487</v>
      </c>
      <c r="B5"/>
      <c r="C5" s="94"/>
      <c r="L5"/>
      <c r="M5"/>
    </row>
    <row r="6" spans="1:13">
      <c r="A6" s="293"/>
      <c r="B6" s="35" t="s">
        <v>136</v>
      </c>
      <c r="H6" s="35"/>
      <c r="I6" s="35"/>
      <c r="L6"/>
      <c r="M6"/>
    </row>
    <row r="7" spans="1:13">
      <c r="A7" s="294"/>
      <c r="B7" s="35" t="s">
        <v>329</v>
      </c>
      <c r="H7" s="35"/>
      <c r="I7" s="35"/>
      <c r="L7"/>
      <c r="M7"/>
    </row>
    <row r="8" spans="1:13">
      <c r="A8" s="295"/>
      <c r="B8" s="35" t="s">
        <v>380</v>
      </c>
      <c r="H8" s="35"/>
      <c r="I8" s="35"/>
      <c r="L8"/>
      <c r="M8"/>
    </row>
    <row r="9" spans="1:13">
      <c r="A9" s="296" t="s">
        <v>391</v>
      </c>
      <c r="B9" s="35" t="s">
        <v>392</v>
      </c>
      <c r="H9" s="35"/>
      <c r="I9" s="35"/>
      <c r="L9"/>
      <c r="M9"/>
    </row>
    <row r="10" spans="1:13" ht="77.650000000000006" customHeight="1" thickBot="1">
      <c r="A10" s="1137"/>
      <c r="B10" s="1138"/>
      <c r="C10" s="1139" t="s">
        <v>1169</v>
      </c>
      <c r="D10" s="1140"/>
      <c r="E10" s="1140"/>
      <c r="F10" s="1140"/>
      <c r="G10" s="1140"/>
      <c r="H10" s="1140"/>
      <c r="I10" s="1140"/>
      <c r="J10" s="1140"/>
      <c r="K10" s="1141"/>
      <c r="L10" s="1135" t="s">
        <v>134</v>
      </c>
      <c r="M10" s="1136"/>
    </row>
    <row r="11" spans="1:13" ht="14.65" customHeight="1">
      <c r="A11" s="562"/>
      <c r="B11" s="574"/>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522</v>
      </c>
      <c r="H12" s="587" t="s">
        <v>422</v>
      </c>
      <c r="I12" s="608" t="s">
        <v>480</v>
      </c>
      <c r="J12" s="104" t="s">
        <v>523</v>
      </c>
      <c r="K12" s="609" t="s">
        <v>422</v>
      </c>
      <c r="L12" s="602" t="s">
        <v>565</v>
      </c>
      <c r="M12" s="11" t="s">
        <v>566</v>
      </c>
    </row>
    <row r="13" spans="1:13" ht="126" customHeight="1">
      <c r="A13" s="15" t="s">
        <v>286</v>
      </c>
      <c r="B13" s="576" t="s">
        <v>336</v>
      </c>
      <c r="C13" s="588"/>
      <c r="D13" s="379"/>
      <c r="E13" s="380"/>
      <c r="F13" s="381"/>
      <c r="G13" s="128" t="s">
        <v>1209</v>
      </c>
      <c r="H13" s="197" t="s">
        <v>1045</v>
      </c>
      <c r="I13" s="610"/>
      <c r="J13" s="75" t="s">
        <v>415</v>
      </c>
      <c r="K13" s="197" t="s">
        <v>536</v>
      </c>
      <c r="L13" s="100" t="s">
        <v>1049</v>
      </c>
      <c r="M13" s="24"/>
    </row>
    <row r="14" spans="1:13" ht="153">
      <c r="A14" s="142"/>
      <c r="B14" s="577" t="s">
        <v>524</v>
      </c>
      <c r="C14" s="589" t="s">
        <v>330</v>
      </c>
      <c r="D14" s="382"/>
      <c r="E14" s="383"/>
      <c r="F14" s="384"/>
      <c r="G14" s="513" t="s">
        <v>330</v>
      </c>
      <c r="H14" s="666" t="s">
        <v>330</v>
      </c>
      <c r="I14" s="522"/>
      <c r="J14" s="87" t="s">
        <v>1046</v>
      </c>
      <c r="K14" s="198"/>
      <c r="L14" s="603" t="s">
        <v>943</v>
      </c>
      <c r="M14" s="24" t="s">
        <v>1050</v>
      </c>
    </row>
    <row r="15" spans="1:13" ht="76.5">
      <c r="A15" s="143"/>
      <c r="B15" s="578" t="s">
        <v>156</v>
      </c>
      <c r="C15" s="591"/>
      <c r="D15" s="385"/>
      <c r="E15" s="386"/>
      <c r="F15" s="387"/>
      <c r="G15" s="129" t="s">
        <v>349</v>
      </c>
      <c r="H15" s="196"/>
      <c r="I15" s="195"/>
      <c r="J15" s="78" t="s">
        <v>415</v>
      </c>
      <c r="K15" s="196"/>
      <c r="L15" s="604" t="s">
        <v>115</v>
      </c>
      <c r="M15" s="65" t="s">
        <v>545</v>
      </c>
    </row>
    <row r="16" spans="1:13" ht="84" customHeight="1">
      <c r="A16" s="15" t="s">
        <v>85</v>
      </c>
      <c r="B16" s="579" t="s">
        <v>174</v>
      </c>
      <c r="C16" s="588"/>
      <c r="D16" s="388"/>
      <c r="E16" s="389"/>
      <c r="F16" s="390">
        <f>3753*1.7</f>
        <v>6380.0999999999995</v>
      </c>
      <c r="G16" s="126" t="s">
        <v>1052</v>
      </c>
      <c r="H16" s="197"/>
      <c r="I16" s="611"/>
      <c r="J16" s="78" t="s">
        <v>415</v>
      </c>
      <c r="K16" s="612"/>
      <c r="L16" s="100" t="s">
        <v>1047</v>
      </c>
      <c r="M16" s="12" t="s">
        <v>539</v>
      </c>
    </row>
    <row r="17" spans="1:13" ht="89.25">
      <c r="A17" s="42"/>
      <c r="B17" s="580" t="s">
        <v>346</v>
      </c>
      <c r="C17" s="592"/>
      <c r="D17" s="391"/>
      <c r="E17" s="392"/>
      <c r="F17" s="393"/>
      <c r="G17" s="127" t="s">
        <v>529</v>
      </c>
      <c r="H17" s="198"/>
      <c r="I17" s="613"/>
      <c r="J17" s="187" t="s">
        <v>415</v>
      </c>
      <c r="K17" s="614"/>
      <c r="L17" s="101" t="s">
        <v>1048</v>
      </c>
      <c r="M17" s="13" t="s">
        <v>540</v>
      </c>
    </row>
    <row r="18" spans="1:13" ht="38.25">
      <c r="A18" s="142"/>
      <c r="B18" s="581" t="s">
        <v>553</v>
      </c>
      <c r="C18" s="592"/>
      <c r="D18" s="382"/>
      <c r="E18" s="394"/>
      <c r="F18" s="393"/>
      <c r="G18" s="202" t="s">
        <v>216</v>
      </c>
      <c r="H18" s="593"/>
      <c r="I18" s="615"/>
      <c r="J18" s="92" t="s">
        <v>415</v>
      </c>
      <c r="K18" s="593"/>
      <c r="L18" s="605" t="s">
        <v>538</v>
      </c>
      <c r="M18" s="133"/>
    </row>
    <row r="19" spans="1:13" ht="63.75">
      <c r="A19" s="42"/>
      <c r="B19" s="582" t="s">
        <v>525</v>
      </c>
      <c r="C19" s="592"/>
      <c r="D19" s="391"/>
      <c r="E19" s="392"/>
      <c r="F19" s="393"/>
      <c r="G19" s="127" t="s">
        <v>530</v>
      </c>
      <c r="H19" s="198"/>
      <c r="I19" s="613"/>
      <c r="J19" s="78" t="s">
        <v>415</v>
      </c>
      <c r="K19" s="614"/>
      <c r="L19" s="101" t="s">
        <v>104</v>
      </c>
      <c r="M19" s="13" t="s">
        <v>541</v>
      </c>
    </row>
    <row r="20" spans="1:13" ht="204">
      <c r="A20" s="142"/>
      <c r="B20" s="582" t="s">
        <v>526</v>
      </c>
      <c r="C20" s="592"/>
      <c r="D20" s="391"/>
      <c r="E20" s="392"/>
      <c r="F20" s="393">
        <f>428*1.7</f>
        <v>727.6</v>
      </c>
      <c r="G20" s="127" t="s">
        <v>1053</v>
      </c>
      <c r="H20" s="198"/>
      <c r="I20" s="613"/>
      <c r="J20" s="78" t="s">
        <v>415</v>
      </c>
      <c r="K20" s="614" t="s">
        <v>1051</v>
      </c>
      <c r="L20" s="101" t="s">
        <v>720</v>
      </c>
      <c r="M20" s="13" t="s">
        <v>542</v>
      </c>
    </row>
    <row r="21" spans="1:13" ht="82.15" customHeight="1">
      <c r="A21" s="142"/>
      <c r="B21" s="582" t="s">
        <v>164</v>
      </c>
      <c r="C21" s="592"/>
      <c r="D21" s="391"/>
      <c r="E21" s="392"/>
      <c r="F21" s="393">
        <f>3910*1.7</f>
        <v>6647</v>
      </c>
      <c r="G21" s="127" t="s">
        <v>1044</v>
      </c>
      <c r="H21" s="198"/>
      <c r="I21" s="616"/>
      <c r="J21" s="87" t="s">
        <v>415</v>
      </c>
      <c r="K21" s="614"/>
      <c r="L21" s="101"/>
      <c r="M21" s="13"/>
    </row>
    <row r="22" spans="1:13" ht="189" customHeight="1">
      <c r="A22" s="142"/>
      <c r="B22" s="580" t="s">
        <v>162</v>
      </c>
      <c r="C22" s="592"/>
      <c r="D22" s="391"/>
      <c r="E22" s="392"/>
      <c r="F22" s="393">
        <f>11800*1.7</f>
        <v>20060</v>
      </c>
      <c r="G22" s="127" t="s">
        <v>531</v>
      </c>
      <c r="H22" s="198"/>
      <c r="I22" s="616"/>
      <c r="J22" s="87" t="s">
        <v>415</v>
      </c>
      <c r="K22" s="614" t="s">
        <v>537</v>
      </c>
      <c r="L22" s="101" t="s">
        <v>99</v>
      </c>
      <c r="M22" s="13" t="s">
        <v>543</v>
      </c>
    </row>
    <row r="23" spans="1:13" ht="76.5">
      <c r="A23" s="66" t="s">
        <v>284</v>
      </c>
      <c r="B23" s="583" t="s">
        <v>66</v>
      </c>
      <c r="C23" s="588"/>
      <c r="D23" s="379"/>
      <c r="E23" s="395"/>
      <c r="F23" s="390"/>
      <c r="G23" s="193" t="s">
        <v>208</v>
      </c>
      <c r="H23" s="594" t="s">
        <v>738</v>
      </c>
      <c r="I23" s="617"/>
      <c r="J23" s="175" t="s">
        <v>415</v>
      </c>
      <c r="K23" s="594"/>
      <c r="L23" s="606"/>
      <c r="M23" s="131" t="s">
        <v>544</v>
      </c>
    </row>
    <row r="24" spans="1:13" ht="89.25">
      <c r="A24" s="142"/>
      <c r="B24" s="584" t="s">
        <v>527</v>
      </c>
      <c r="C24" s="592"/>
      <c r="D24" s="382"/>
      <c r="E24" s="394"/>
      <c r="F24" s="393"/>
      <c r="G24" s="194" t="s">
        <v>1164</v>
      </c>
      <c r="H24" s="595" t="s">
        <v>532</v>
      </c>
      <c r="I24" s="618"/>
      <c r="J24" s="178" t="s">
        <v>415</v>
      </c>
      <c r="K24" s="322"/>
      <c r="L24" s="605"/>
      <c r="M24" s="133"/>
    </row>
    <row r="25" spans="1:13" ht="51.75" thickBot="1">
      <c r="A25" s="143"/>
      <c r="B25" s="585" t="s">
        <v>528</v>
      </c>
      <c r="C25" s="596"/>
      <c r="D25" s="597"/>
      <c r="E25" s="598"/>
      <c r="F25" s="599"/>
      <c r="G25" s="600" t="s">
        <v>335</v>
      </c>
      <c r="H25" s="601"/>
      <c r="I25" s="1090" t="s">
        <v>330</v>
      </c>
      <c r="J25" s="620" t="s">
        <v>330</v>
      </c>
      <c r="K25" s="621" t="s">
        <v>330</v>
      </c>
      <c r="L25" s="607"/>
      <c r="M25" s="153"/>
    </row>
    <row r="26" spans="1:13">
      <c r="A26" s="1"/>
      <c r="D26" s="417">
        <f>SUM(D13:D25)</f>
        <v>0</v>
      </c>
      <c r="E26" s="418">
        <f>SUM(E13:E25)</f>
        <v>0</v>
      </c>
      <c r="F26" s="419">
        <f>SUM(F13:F25)</f>
        <v>33814.699999999997</v>
      </c>
      <c r="J26" s="103"/>
      <c r="K26" s="103"/>
    </row>
    <row r="27" spans="1:13" ht="15.75" thickBot="1">
      <c r="D27" s="203" t="s">
        <v>360</v>
      </c>
      <c r="E27" s="204" t="s">
        <v>361</v>
      </c>
      <c r="F27" s="205" t="s">
        <v>362</v>
      </c>
    </row>
    <row r="28" spans="1:13" s="1059" customFormat="1" ht="12.75">
      <c r="A28" s="1056" t="s">
        <v>546</v>
      </c>
      <c r="B28" s="1057"/>
      <c r="C28" s="1057"/>
      <c r="D28" s="1057"/>
      <c r="E28" s="1057"/>
      <c r="F28" s="1057"/>
      <c r="G28" s="1057"/>
      <c r="H28" s="1057"/>
      <c r="I28" s="1057"/>
      <c r="J28" s="1057"/>
      <c r="K28" s="1057"/>
      <c r="L28" s="1058"/>
      <c r="M28" s="1058"/>
    </row>
    <row r="29" spans="1:13" s="1059" customFormat="1" ht="12.75">
      <c r="A29" s="1056" t="s">
        <v>533</v>
      </c>
      <c r="B29" s="1057"/>
      <c r="C29" s="1057"/>
      <c r="D29" s="1057"/>
      <c r="E29" s="1057"/>
      <c r="F29" s="1057"/>
      <c r="G29" s="1057"/>
      <c r="H29" s="1057"/>
      <c r="I29" s="1057"/>
      <c r="J29" s="1057"/>
      <c r="K29" s="1057"/>
      <c r="L29" s="1058"/>
      <c r="M29" s="1058"/>
    </row>
    <row r="30" spans="1:13" s="1059" customFormat="1" ht="12.75">
      <c r="A30" s="1056" t="s">
        <v>535</v>
      </c>
      <c r="B30" s="1057"/>
      <c r="C30" s="1057"/>
      <c r="D30" s="1057"/>
      <c r="E30" s="1057"/>
      <c r="F30" s="1057"/>
      <c r="G30" s="1057"/>
      <c r="H30" s="1057"/>
      <c r="I30" s="1057"/>
      <c r="J30" s="1057"/>
      <c r="K30" s="1057"/>
      <c r="L30" s="1058"/>
      <c r="M30" s="1058"/>
    </row>
    <row r="31" spans="1:13" s="1059" customFormat="1" ht="12.75">
      <c r="A31" s="1056" t="s">
        <v>547</v>
      </c>
      <c r="B31" s="1057"/>
      <c r="C31" s="1057"/>
      <c r="D31" s="1057"/>
      <c r="E31" s="1057"/>
      <c r="F31" s="1057"/>
      <c r="G31" s="1057"/>
      <c r="H31" s="1057"/>
      <c r="I31" s="1057"/>
      <c r="J31" s="1057"/>
      <c r="K31" s="1057"/>
      <c r="L31" s="1058"/>
      <c r="M31" s="1058"/>
    </row>
  </sheetData>
  <mergeCells count="6">
    <mergeCell ref="A1:B1"/>
    <mergeCell ref="L10:M10"/>
    <mergeCell ref="A10:B10"/>
    <mergeCell ref="C10:K10"/>
    <mergeCell ref="C11:H11"/>
    <mergeCell ref="I11:K11"/>
  </mergeCells>
  <pageMargins left="0.7" right="0.7" top="0.75" bottom="0.75" header="0.3" footer="0.3"/>
  <pageSetup paperSize="9"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3B3D-C842-4404-9E1C-0C965E6164E3}">
  <dimension ref="A1:G7"/>
  <sheetViews>
    <sheetView zoomScale="75" zoomScaleNormal="75" workbookViewId="0">
      <selection activeCell="N12" sqref="N12"/>
    </sheetView>
  </sheetViews>
  <sheetFormatPr defaultColWidth="8.7109375" defaultRowHeight="15"/>
  <cols>
    <col min="1" max="1" width="45.7109375" bestFit="1" customWidth="1"/>
    <col min="2" max="3" width="9.7109375" bestFit="1" customWidth="1"/>
    <col min="4" max="4" width="11.28515625" bestFit="1" customWidth="1"/>
  </cols>
  <sheetData>
    <row r="1" spans="1:7" ht="21">
      <c r="A1" s="213" t="s">
        <v>488</v>
      </c>
      <c r="B1" s="214"/>
      <c r="C1" s="214"/>
      <c r="D1" s="214"/>
      <c r="G1" s="973" t="s">
        <v>497</v>
      </c>
    </row>
    <row r="2" spans="1:7" ht="21">
      <c r="A2" s="214"/>
      <c r="B2" s="215" t="s">
        <v>367</v>
      </c>
      <c r="C2" s="215" t="s">
        <v>368</v>
      </c>
      <c r="D2" s="215" t="s">
        <v>369</v>
      </c>
    </row>
    <row r="3" spans="1:7" ht="21">
      <c r="A3" s="222" t="s">
        <v>548</v>
      </c>
      <c r="B3" s="223">
        <f>'D1 Community Worksheet'!D26</f>
        <v>0</v>
      </c>
      <c r="C3" s="223">
        <f>'D1 Community Worksheet'!E26</f>
        <v>0</v>
      </c>
      <c r="D3" s="223">
        <f>'D1 Community Worksheet'!F26</f>
        <v>33814.699999999997</v>
      </c>
    </row>
    <row r="4" spans="1:7" ht="21">
      <c r="A4" s="214" t="s">
        <v>371</v>
      </c>
      <c r="B4" s="214"/>
      <c r="C4" s="214"/>
      <c r="D4" s="214"/>
    </row>
    <row r="5" spans="1:7" ht="21">
      <c r="A5" s="214" t="s">
        <v>549</v>
      </c>
      <c r="B5" s="214"/>
      <c r="C5" s="214"/>
      <c r="D5" s="214"/>
    </row>
    <row r="6" spans="1:7" ht="21">
      <c r="A6" s="214" t="s">
        <v>550</v>
      </c>
      <c r="B6" s="214"/>
      <c r="C6" s="214"/>
      <c r="D6" s="214"/>
    </row>
    <row r="7" spans="1:7" ht="21">
      <c r="A7" s="214" t="s">
        <v>551</v>
      </c>
      <c r="B7" s="214"/>
      <c r="C7" s="214"/>
      <c r="D7" s="21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8D7DE-C1EF-4A4D-AFE0-393A2B4617FB}">
  <sheetPr>
    <pageSetUpPr fitToPage="1"/>
  </sheetPr>
  <dimension ref="A1:M82"/>
  <sheetViews>
    <sheetView zoomScale="75" zoomScaleNormal="75" workbookViewId="0">
      <selection activeCell="L1" sqref="L1:M1"/>
    </sheetView>
  </sheetViews>
  <sheetFormatPr defaultColWidth="8.7109375" defaultRowHeight="15"/>
  <cols>
    <col min="1" max="1" width="20.7109375" style="3" customWidth="1"/>
    <col min="2" max="2" width="27.140625" style="5" customWidth="1"/>
    <col min="3" max="3" width="10.7109375" style="5" customWidth="1"/>
    <col min="4" max="5" width="6.7109375" style="120" customWidth="1"/>
    <col min="6" max="6" width="7.7109375" style="120" bestFit="1" customWidth="1"/>
    <col min="7" max="8" width="28.7109375" style="5" customWidth="1"/>
    <col min="9" max="9" width="10.7109375" style="5" customWidth="1"/>
    <col min="10" max="11" width="28.7109375" style="5" customWidth="1"/>
    <col min="12" max="13" width="28.7109375" style="3" customWidth="1"/>
  </cols>
  <sheetData>
    <row r="1" spans="1:13" ht="21">
      <c r="A1" s="1147" t="s">
        <v>220</v>
      </c>
      <c r="B1" s="1147"/>
      <c r="C1" s="95"/>
      <c r="D1" s="212"/>
      <c r="E1" s="212"/>
      <c r="F1" s="212"/>
      <c r="G1" s="973" t="s">
        <v>497</v>
      </c>
      <c r="H1" s="172"/>
      <c r="I1" s="172"/>
      <c r="J1" s="120"/>
      <c r="K1" s="120"/>
      <c r="L1" s="1148"/>
      <c r="M1" s="1149"/>
    </row>
    <row r="2" spans="1:13" ht="15" customHeight="1">
      <c r="A2" s="291" t="s">
        <v>333</v>
      </c>
      <c r="B2" t="s">
        <v>282</v>
      </c>
      <c r="C2" s="94"/>
      <c r="D2" s="6"/>
      <c r="E2" s="6"/>
      <c r="F2" s="6"/>
      <c r="G2" s="6"/>
      <c r="H2" s="6"/>
      <c r="I2" s="6"/>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77.650000000000006" customHeight="1" thickBot="1">
      <c r="A10" s="1137"/>
      <c r="B10" s="1138"/>
      <c r="C10" s="1139" t="s">
        <v>1169</v>
      </c>
      <c r="D10" s="1140"/>
      <c r="E10" s="1140"/>
      <c r="F10" s="1140"/>
      <c r="G10" s="1140"/>
      <c r="H10" s="1140"/>
      <c r="I10" s="1140"/>
      <c r="J10" s="1140"/>
      <c r="K10" s="1141"/>
      <c r="L10" s="1135" t="s">
        <v>134</v>
      </c>
      <c r="M10" s="1136"/>
    </row>
    <row r="11" spans="1:13" ht="14.65" customHeight="1">
      <c r="A11" s="672" t="s">
        <v>482</v>
      </c>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647" t="s">
        <v>1168</v>
      </c>
      <c r="I12" s="608" t="s">
        <v>480</v>
      </c>
      <c r="J12" s="104" t="s">
        <v>523</v>
      </c>
      <c r="K12" s="609" t="s">
        <v>422</v>
      </c>
      <c r="L12" s="602" t="s">
        <v>565</v>
      </c>
      <c r="M12" s="11" t="s">
        <v>566</v>
      </c>
    </row>
    <row r="13" spans="1:13" ht="25.5">
      <c r="A13" s="1150" t="s">
        <v>323</v>
      </c>
      <c r="B13" s="623" t="s">
        <v>554</v>
      </c>
      <c r="C13" s="610"/>
      <c r="D13" s="379"/>
      <c r="E13" s="395"/>
      <c r="F13" s="390"/>
      <c r="G13" s="128" t="s">
        <v>180</v>
      </c>
      <c r="H13" s="80"/>
      <c r="I13" s="660"/>
      <c r="J13" s="76" t="s">
        <v>564</v>
      </c>
      <c r="K13" s="633"/>
      <c r="L13" s="653"/>
      <c r="M13" s="27"/>
    </row>
    <row r="14" spans="1:13" ht="25.5">
      <c r="A14" s="1151"/>
      <c r="B14" s="624" t="s">
        <v>228</v>
      </c>
      <c r="C14" s="195"/>
      <c r="D14" s="385"/>
      <c r="E14" s="386"/>
      <c r="F14" s="387"/>
      <c r="G14" s="209" t="s">
        <v>180</v>
      </c>
      <c r="H14" s="648"/>
      <c r="I14" s="661"/>
      <c r="J14" s="78" t="s">
        <v>564</v>
      </c>
      <c r="K14" s="196"/>
      <c r="L14" s="654"/>
      <c r="M14" s="25"/>
    </row>
    <row r="15" spans="1:13" ht="51">
      <c r="A15" s="21" t="s">
        <v>93</v>
      </c>
      <c r="B15" s="623" t="s">
        <v>229</v>
      </c>
      <c r="C15" s="610"/>
      <c r="D15" s="379"/>
      <c r="E15" s="395"/>
      <c r="F15" s="390"/>
      <c r="G15" s="208" t="s">
        <v>177</v>
      </c>
      <c r="H15" s="134"/>
      <c r="I15" s="662"/>
      <c r="J15" s="83" t="s">
        <v>564</v>
      </c>
      <c r="K15" s="197"/>
      <c r="L15" s="655" t="s">
        <v>1055</v>
      </c>
      <c r="M15" s="26" t="s">
        <v>7</v>
      </c>
    </row>
    <row r="16" spans="1:13">
      <c r="A16" s="16"/>
      <c r="B16" s="625" t="s">
        <v>230</v>
      </c>
      <c r="C16" s="636"/>
      <c r="D16" s="382"/>
      <c r="E16" s="394"/>
      <c r="F16" s="393"/>
      <c r="G16" s="192" t="s">
        <v>177</v>
      </c>
      <c r="H16" s="123"/>
      <c r="I16" s="663"/>
      <c r="J16" s="76" t="s">
        <v>564</v>
      </c>
      <c r="K16" s="198"/>
      <c r="L16" s="656"/>
      <c r="M16" s="23"/>
    </row>
    <row r="17" spans="1:13" ht="25.5">
      <c r="A17" s="39"/>
      <c r="B17" s="625" t="s">
        <v>231</v>
      </c>
      <c r="C17" s="636"/>
      <c r="D17" s="382"/>
      <c r="E17" s="394"/>
      <c r="F17" s="393"/>
      <c r="G17" s="192"/>
      <c r="H17" s="123"/>
      <c r="I17" s="522"/>
      <c r="J17" s="81"/>
      <c r="K17" s="590"/>
      <c r="L17" s="656"/>
      <c r="M17" s="23"/>
    </row>
    <row r="18" spans="1:13" ht="25.5">
      <c r="A18" s="17"/>
      <c r="B18" s="624" t="s">
        <v>8</v>
      </c>
      <c r="C18" s="195"/>
      <c r="D18" s="385"/>
      <c r="E18" s="386"/>
      <c r="F18" s="387"/>
      <c r="G18" s="209" t="s">
        <v>383</v>
      </c>
      <c r="H18" s="648"/>
      <c r="I18" s="661"/>
      <c r="J18" s="77"/>
      <c r="K18" s="634"/>
      <c r="L18" s="654"/>
      <c r="M18" s="25"/>
    </row>
    <row r="19" spans="1:13" ht="51">
      <c r="A19" s="29" t="s">
        <v>94</v>
      </c>
      <c r="B19" s="623" t="s">
        <v>232</v>
      </c>
      <c r="C19" s="610"/>
      <c r="D19" s="379"/>
      <c r="E19" s="395"/>
      <c r="F19" s="390"/>
      <c r="G19" s="208" t="s">
        <v>179</v>
      </c>
      <c r="H19" s="134"/>
      <c r="I19" s="521"/>
      <c r="J19" s="79"/>
      <c r="K19" s="635"/>
      <c r="L19" s="655" t="s">
        <v>567</v>
      </c>
      <c r="M19" s="22" t="s">
        <v>589</v>
      </c>
    </row>
    <row r="20" spans="1:13" ht="51">
      <c r="A20" s="41"/>
      <c r="B20" s="626" t="s">
        <v>350</v>
      </c>
      <c r="C20" s="637"/>
      <c r="D20" s="275">
        <v>3770</v>
      </c>
      <c r="E20" s="396"/>
      <c r="F20" s="276"/>
      <c r="G20" s="211" t="s">
        <v>372</v>
      </c>
      <c r="H20" s="515" t="s">
        <v>1056</v>
      </c>
      <c r="I20" s="664"/>
      <c r="J20" s="177"/>
      <c r="K20" s="638"/>
      <c r="L20" s="657"/>
      <c r="M20" s="60"/>
    </row>
    <row r="21" spans="1:13" ht="51">
      <c r="A21" s="41"/>
      <c r="B21" s="625" t="s">
        <v>352</v>
      </c>
      <c r="C21" s="637"/>
      <c r="D21" s="275">
        <v>1838</v>
      </c>
      <c r="E21" s="396"/>
      <c r="F21" s="276"/>
      <c r="G21" s="211" t="s">
        <v>372</v>
      </c>
      <c r="H21" s="515" t="s">
        <v>1057</v>
      </c>
      <c r="I21" s="664"/>
      <c r="J21" s="177"/>
      <c r="K21" s="638"/>
      <c r="L21" s="657"/>
      <c r="M21" s="60"/>
    </row>
    <row r="22" spans="1:13" ht="25.5">
      <c r="A22" s="17"/>
      <c r="B22" s="624" t="s">
        <v>166</v>
      </c>
      <c r="C22" s="195"/>
      <c r="D22" s="385"/>
      <c r="E22" s="386"/>
      <c r="F22" s="387"/>
      <c r="G22" s="209" t="s">
        <v>181</v>
      </c>
      <c r="H22" s="648"/>
      <c r="I22" s="661"/>
      <c r="J22" s="77" t="s">
        <v>564</v>
      </c>
      <c r="K22" s="634"/>
      <c r="L22" s="658" t="s">
        <v>96</v>
      </c>
      <c r="M22" s="28" t="s">
        <v>95</v>
      </c>
    </row>
    <row r="23" spans="1:13" ht="25.5">
      <c r="A23" s="29" t="s">
        <v>347</v>
      </c>
      <c r="B23" s="627" t="s">
        <v>384</v>
      </c>
      <c r="C23" s="588"/>
      <c r="D23" s="379"/>
      <c r="E23" s="395"/>
      <c r="F23" s="390"/>
      <c r="G23" s="208" t="s">
        <v>180</v>
      </c>
      <c r="H23" s="134"/>
      <c r="I23" s="665"/>
      <c r="J23" s="478" t="s">
        <v>330</v>
      </c>
      <c r="K23" s="666" t="s">
        <v>330</v>
      </c>
      <c r="L23" s="653"/>
      <c r="M23" s="22" t="s">
        <v>568</v>
      </c>
    </row>
    <row r="24" spans="1:13" ht="76.5">
      <c r="A24" s="41"/>
      <c r="B24" s="628" t="s">
        <v>341</v>
      </c>
      <c r="C24" s="592"/>
      <c r="D24" s="382"/>
      <c r="E24" s="394"/>
      <c r="F24" s="393"/>
      <c r="G24" s="192" t="s">
        <v>558</v>
      </c>
      <c r="H24" s="123"/>
      <c r="I24" s="522"/>
      <c r="J24" s="478" t="s">
        <v>330</v>
      </c>
      <c r="K24" s="666" t="s">
        <v>330</v>
      </c>
      <c r="L24" s="656"/>
      <c r="M24" s="24" t="s">
        <v>11</v>
      </c>
    </row>
    <row r="25" spans="1:13" ht="76.5">
      <c r="A25" s="41"/>
      <c r="B25" s="628" t="s">
        <v>555</v>
      </c>
      <c r="C25" s="592"/>
      <c r="D25" s="382"/>
      <c r="E25" s="394"/>
      <c r="F25" s="393"/>
      <c r="G25" s="192" t="s">
        <v>559</v>
      </c>
      <c r="H25" s="123"/>
      <c r="I25" s="522"/>
      <c r="J25" s="478" t="s">
        <v>330</v>
      </c>
      <c r="K25" s="666" t="s">
        <v>330</v>
      </c>
      <c r="L25" s="656"/>
      <c r="M25" s="24" t="s">
        <v>569</v>
      </c>
    </row>
    <row r="26" spans="1:13" ht="25.5">
      <c r="A26" s="41"/>
      <c r="B26" s="628" t="s">
        <v>556</v>
      </c>
      <c r="C26" s="592"/>
      <c r="D26" s="382"/>
      <c r="E26" s="394"/>
      <c r="F26" s="393"/>
      <c r="G26" s="192" t="s">
        <v>560</v>
      </c>
      <c r="H26" s="123"/>
      <c r="I26" s="522"/>
      <c r="J26" s="478" t="s">
        <v>330</v>
      </c>
      <c r="K26" s="666" t="s">
        <v>330</v>
      </c>
      <c r="L26" s="603" t="s">
        <v>92</v>
      </c>
      <c r="M26" s="24"/>
    </row>
    <row r="27" spans="1:13" ht="165" customHeight="1">
      <c r="A27" s="54"/>
      <c r="B27" s="629" t="s">
        <v>342</v>
      </c>
      <c r="C27" s="591"/>
      <c r="D27" s="397"/>
      <c r="E27" s="398"/>
      <c r="F27" s="399"/>
      <c r="G27" s="209" t="s">
        <v>1167</v>
      </c>
      <c r="H27" s="648"/>
      <c r="I27" s="661"/>
      <c r="J27" s="77" t="s">
        <v>415</v>
      </c>
      <c r="K27" s="634"/>
      <c r="L27" s="658" t="s">
        <v>92</v>
      </c>
      <c r="M27" s="28" t="s">
        <v>12</v>
      </c>
    </row>
    <row r="28" spans="1:13" ht="38.25">
      <c r="A28" s="20" t="s">
        <v>552</v>
      </c>
      <c r="B28" s="630" t="s">
        <v>343</v>
      </c>
      <c r="C28" s="639"/>
      <c r="D28" s="400"/>
      <c r="E28" s="401"/>
      <c r="F28" s="402"/>
      <c r="G28" s="207" t="s">
        <v>180</v>
      </c>
      <c r="H28" s="649"/>
      <c r="I28" s="667"/>
      <c r="J28" s="477" t="s">
        <v>330</v>
      </c>
      <c r="K28" s="668" t="s">
        <v>330</v>
      </c>
      <c r="L28" s="659"/>
      <c r="M28" s="19" t="s">
        <v>135</v>
      </c>
    </row>
    <row r="29" spans="1:13" ht="76.5">
      <c r="A29" s="136" t="s">
        <v>339</v>
      </c>
      <c r="B29" s="631" t="s">
        <v>82</v>
      </c>
      <c r="C29" s="641"/>
      <c r="D29" s="403"/>
      <c r="E29" s="404"/>
      <c r="F29" s="405"/>
      <c r="G29" s="202" t="s">
        <v>215</v>
      </c>
      <c r="H29" s="650" t="s">
        <v>736</v>
      </c>
      <c r="I29" s="279"/>
      <c r="J29" s="92" t="s">
        <v>207</v>
      </c>
      <c r="K29" s="593"/>
      <c r="L29" s="605"/>
      <c r="M29" s="61" t="s">
        <v>570</v>
      </c>
    </row>
    <row r="30" spans="1:13" ht="76.5">
      <c r="A30" s="69"/>
      <c r="B30" s="632" t="s">
        <v>557</v>
      </c>
      <c r="C30" s="195"/>
      <c r="D30" s="385"/>
      <c r="E30" s="386"/>
      <c r="F30" s="387"/>
      <c r="G30" s="201" t="s">
        <v>562</v>
      </c>
      <c r="H30" s="651" t="s">
        <v>563</v>
      </c>
      <c r="I30" s="280"/>
      <c r="J30" s="93" t="s">
        <v>207</v>
      </c>
      <c r="K30" s="669"/>
      <c r="L30" s="607"/>
      <c r="M30" s="34"/>
    </row>
    <row r="31" spans="1:13" ht="26.25" customHeight="1">
      <c r="A31" s="29" t="s">
        <v>13</v>
      </c>
      <c r="B31" s="623" t="s">
        <v>14</v>
      </c>
      <c r="C31" s="610"/>
      <c r="D31" s="379"/>
      <c r="E31" s="395"/>
      <c r="F31" s="390"/>
      <c r="G31" s="208" t="s">
        <v>561</v>
      </c>
      <c r="H31" s="134"/>
      <c r="I31" s="521"/>
      <c r="J31" s="79"/>
      <c r="K31" s="635"/>
      <c r="L31" s="653"/>
      <c r="M31" s="19" t="s">
        <v>135</v>
      </c>
    </row>
    <row r="32" spans="1:13" ht="26.25" thickBot="1">
      <c r="A32" s="31"/>
      <c r="B32" s="624" t="s">
        <v>234</v>
      </c>
      <c r="C32" s="644"/>
      <c r="D32" s="482"/>
      <c r="E32" s="483"/>
      <c r="F32" s="484"/>
      <c r="G32" s="645" t="s">
        <v>180</v>
      </c>
      <c r="H32" s="652"/>
      <c r="I32" s="670"/>
      <c r="J32" s="671"/>
      <c r="K32" s="646"/>
      <c r="L32" s="654"/>
      <c r="M32" s="19" t="s">
        <v>135</v>
      </c>
    </row>
    <row r="33" spans="1:13">
      <c r="A33" s="210"/>
      <c r="B33" s="112"/>
      <c r="C33" s="113"/>
      <c r="D33" s="417">
        <f>SUM(D13:D32)</f>
        <v>5608</v>
      </c>
      <c r="E33" s="418">
        <f>SUM(E13:E32)</f>
        <v>0</v>
      </c>
      <c r="F33" s="419">
        <f>SUM(F13:F32)</f>
        <v>0</v>
      </c>
      <c r="G33" s="112"/>
      <c r="H33" s="112"/>
      <c r="I33" s="112"/>
      <c r="J33" s="112"/>
      <c r="K33" s="112"/>
      <c r="L33" s="113"/>
      <c r="M33" s="116"/>
    </row>
    <row r="34" spans="1:13" ht="15.75" thickBot="1">
      <c r="A34" s="210"/>
      <c r="B34" s="112"/>
      <c r="C34" s="113"/>
      <c r="D34" s="203" t="s">
        <v>360</v>
      </c>
      <c r="E34" s="204" t="s">
        <v>361</v>
      </c>
      <c r="F34" s="205" t="s">
        <v>362</v>
      </c>
      <c r="G34" s="112"/>
      <c r="H34" s="112"/>
      <c r="I34" s="112"/>
      <c r="J34" s="112"/>
      <c r="K34" s="112"/>
      <c r="L34" s="113"/>
      <c r="M34" s="112"/>
    </row>
    <row r="35" spans="1:13" ht="14.65" customHeight="1">
      <c r="A35" s="672" t="s">
        <v>481</v>
      </c>
      <c r="B35" s="673"/>
      <c r="C35" s="1142" t="s">
        <v>486</v>
      </c>
      <c r="D35" s="1143"/>
      <c r="E35" s="1143"/>
      <c r="F35" s="1143"/>
      <c r="G35" s="1143"/>
      <c r="H35" s="1144"/>
      <c r="I35" s="1142" t="s">
        <v>479</v>
      </c>
      <c r="J35" s="1145"/>
      <c r="K35" s="1146"/>
      <c r="L35" s="564"/>
      <c r="M35" s="561"/>
    </row>
    <row r="36" spans="1:13" ht="25.5">
      <c r="A36" s="138" t="s">
        <v>131</v>
      </c>
      <c r="B36" s="575" t="s">
        <v>117</v>
      </c>
      <c r="C36" s="586" t="s">
        <v>480</v>
      </c>
      <c r="D36" s="570" t="s">
        <v>360</v>
      </c>
      <c r="E36" s="571" t="s">
        <v>361</v>
      </c>
      <c r="F36" s="572" t="s">
        <v>362</v>
      </c>
      <c r="G36" s="573" t="s">
        <v>571</v>
      </c>
      <c r="H36" s="587" t="s">
        <v>422</v>
      </c>
      <c r="I36" s="608" t="s">
        <v>480</v>
      </c>
      <c r="J36" s="104" t="s">
        <v>523</v>
      </c>
      <c r="K36" s="609" t="s">
        <v>422</v>
      </c>
      <c r="L36" s="602" t="s">
        <v>565</v>
      </c>
      <c r="M36" s="11" t="s">
        <v>566</v>
      </c>
    </row>
    <row r="37" spans="1:13" ht="211.9" customHeight="1">
      <c r="A37" s="20" t="s">
        <v>572</v>
      </c>
      <c r="B37" s="674" t="s">
        <v>574</v>
      </c>
      <c r="C37" s="692"/>
      <c r="D37" s="400"/>
      <c r="E37" s="401">
        <f>6576*1.1</f>
        <v>7233.6</v>
      </c>
      <c r="F37" s="402"/>
      <c r="G37" s="207" t="s">
        <v>1166</v>
      </c>
      <c r="H37" s="705" t="s">
        <v>1058</v>
      </c>
      <c r="I37" s="716"/>
      <c r="J37" s="79" t="s">
        <v>415</v>
      </c>
      <c r="K37" s="705"/>
      <c r="L37" s="714" t="s">
        <v>1054</v>
      </c>
      <c r="M37" s="19" t="s">
        <v>568</v>
      </c>
    </row>
    <row r="38" spans="1:13" ht="229.9" customHeight="1">
      <c r="A38" s="29" t="s">
        <v>573</v>
      </c>
      <c r="B38" s="623" t="s">
        <v>235</v>
      </c>
      <c r="C38" s="610"/>
      <c r="D38" s="275"/>
      <c r="E38" s="396">
        <v>2548</v>
      </c>
      <c r="F38" s="276">
        <f>7347*1.7</f>
        <v>12489.9</v>
      </c>
      <c r="G38" s="208" t="s">
        <v>176</v>
      </c>
      <c r="H38" s="635" t="s">
        <v>1059</v>
      </c>
      <c r="I38" s="521"/>
      <c r="J38" s="79" t="s">
        <v>415</v>
      </c>
      <c r="K38" s="635"/>
      <c r="L38" s="655" t="s">
        <v>97</v>
      </c>
      <c r="M38" s="22" t="s">
        <v>580</v>
      </c>
    </row>
    <row r="39" spans="1:13" ht="38.25">
      <c r="A39" s="18"/>
      <c r="B39" s="625" t="s">
        <v>236</v>
      </c>
      <c r="C39" s="641"/>
      <c r="D39" s="382"/>
      <c r="E39" s="394"/>
      <c r="F39" s="393"/>
      <c r="G39" s="192" t="s">
        <v>176</v>
      </c>
      <c r="H39" s="590"/>
      <c r="I39" s="522"/>
      <c r="J39" s="81" t="s">
        <v>415</v>
      </c>
      <c r="K39" s="590"/>
      <c r="L39" s="603" t="s">
        <v>98</v>
      </c>
      <c r="M39" s="24" t="s">
        <v>581</v>
      </c>
    </row>
    <row r="40" spans="1:13" ht="102">
      <c r="A40" s="18"/>
      <c r="B40" s="628" t="s">
        <v>237</v>
      </c>
      <c r="C40" s="636"/>
      <c r="D40" s="382"/>
      <c r="E40" s="394"/>
      <c r="F40" s="393"/>
      <c r="G40" s="192" t="s">
        <v>1174</v>
      </c>
      <c r="H40" s="590" t="s">
        <v>737</v>
      </c>
      <c r="I40" s="522"/>
      <c r="J40" s="81" t="s">
        <v>415</v>
      </c>
      <c r="K40" s="590"/>
      <c r="L40" s="656"/>
      <c r="M40" s="24" t="s">
        <v>582</v>
      </c>
    </row>
    <row r="41" spans="1:13" ht="76.5">
      <c r="A41" s="18"/>
      <c r="B41" s="625" t="s">
        <v>238</v>
      </c>
      <c r="C41" s="636"/>
      <c r="D41" s="382"/>
      <c r="E41" s="394"/>
      <c r="F41" s="393"/>
      <c r="G41" s="192" t="s">
        <v>363</v>
      </c>
      <c r="H41" s="590" t="s">
        <v>1060</v>
      </c>
      <c r="I41" s="522"/>
      <c r="J41" s="81" t="s">
        <v>415</v>
      </c>
      <c r="K41" s="590"/>
      <c r="L41" s="656"/>
      <c r="M41" s="24" t="s">
        <v>568</v>
      </c>
    </row>
    <row r="42" spans="1:13" ht="63.75">
      <c r="A42" s="30"/>
      <c r="B42" s="624" t="s">
        <v>239</v>
      </c>
      <c r="C42" s="195"/>
      <c r="D42" s="385"/>
      <c r="E42" s="386"/>
      <c r="F42" s="387"/>
      <c r="G42" s="209" t="s">
        <v>182</v>
      </c>
      <c r="H42" s="634"/>
      <c r="I42" s="661"/>
      <c r="J42" s="77" t="s">
        <v>415</v>
      </c>
      <c r="K42" s="634"/>
      <c r="L42" s="654"/>
      <c r="M42" s="28" t="s">
        <v>583</v>
      </c>
    </row>
    <row r="43" spans="1:13" ht="204">
      <c r="A43" s="29" t="s">
        <v>9</v>
      </c>
      <c r="B43" s="623" t="s">
        <v>575</v>
      </c>
      <c r="C43" s="610"/>
      <c r="D43" s="379"/>
      <c r="E43" s="395"/>
      <c r="F43" s="390">
        <f>2300*1.7</f>
        <v>3910</v>
      </c>
      <c r="G43" s="208" t="s">
        <v>364</v>
      </c>
      <c r="H43" s="635" t="s">
        <v>1061</v>
      </c>
      <c r="I43" s="521"/>
      <c r="J43" s="79" t="s">
        <v>415</v>
      </c>
      <c r="K43" s="635" t="s">
        <v>930</v>
      </c>
      <c r="L43" s="655" t="s">
        <v>609</v>
      </c>
      <c r="M43" s="22" t="s">
        <v>584</v>
      </c>
    </row>
    <row r="44" spans="1:13" ht="63.75">
      <c r="A44" s="18"/>
      <c r="B44" s="628" t="s">
        <v>240</v>
      </c>
      <c r="C44" s="636"/>
      <c r="D44" s="382"/>
      <c r="E44" s="394"/>
      <c r="F44" s="393"/>
      <c r="G44" s="192" t="s">
        <v>1166</v>
      </c>
      <c r="H44" s="590"/>
      <c r="I44" s="522"/>
      <c r="J44" s="81" t="s">
        <v>415</v>
      </c>
      <c r="K44" s="590"/>
      <c r="L44" s="656"/>
      <c r="M44" s="24"/>
    </row>
    <row r="45" spans="1:13" ht="38.25">
      <c r="A45" s="18"/>
      <c r="B45" s="625" t="s">
        <v>576</v>
      </c>
      <c r="C45" s="636"/>
      <c r="D45" s="382"/>
      <c r="E45" s="394"/>
      <c r="F45" s="393"/>
      <c r="G45" s="192" t="s">
        <v>182</v>
      </c>
      <c r="H45" s="590"/>
      <c r="I45" s="522"/>
      <c r="J45" s="81" t="s">
        <v>415</v>
      </c>
      <c r="K45" s="590"/>
      <c r="L45" s="656"/>
      <c r="M45" s="24" t="s">
        <v>586</v>
      </c>
    </row>
    <row r="46" spans="1:13" ht="38.25">
      <c r="A46" s="18"/>
      <c r="B46" s="625" t="s">
        <v>10</v>
      </c>
      <c r="C46" s="636"/>
      <c r="D46" s="382"/>
      <c r="E46" s="394"/>
      <c r="F46" s="393"/>
      <c r="G46" s="192" t="s">
        <v>182</v>
      </c>
      <c r="H46" s="590"/>
      <c r="I46" s="522"/>
      <c r="J46" s="81" t="s">
        <v>415</v>
      </c>
      <c r="K46" s="717"/>
      <c r="L46" s="603" t="s">
        <v>588</v>
      </c>
      <c r="M46" s="24" t="s">
        <v>585</v>
      </c>
    </row>
    <row r="47" spans="1:13" ht="25.5">
      <c r="A47" s="16"/>
      <c r="B47" s="625" t="s">
        <v>577</v>
      </c>
      <c r="C47" s="636"/>
      <c r="D47" s="403"/>
      <c r="E47" s="404"/>
      <c r="F47" s="405"/>
      <c r="G47" s="192" t="s">
        <v>182</v>
      </c>
      <c r="H47" s="706"/>
      <c r="I47" s="665"/>
      <c r="J47" s="84" t="s">
        <v>415</v>
      </c>
      <c r="K47" s="590"/>
      <c r="L47" s="656"/>
      <c r="M47" s="24" t="s">
        <v>585</v>
      </c>
    </row>
    <row r="48" spans="1:13" ht="51">
      <c r="A48" s="16"/>
      <c r="B48" s="625" t="s">
        <v>578</v>
      </c>
      <c r="C48" s="707"/>
      <c r="D48" s="382"/>
      <c r="E48" s="394"/>
      <c r="F48" s="393"/>
      <c r="G48" s="192" t="s">
        <v>182</v>
      </c>
      <c r="H48" s="590"/>
      <c r="I48" s="522"/>
      <c r="J48" s="478" t="s">
        <v>330</v>
      </c>
      <c r="K48" s="666" t="s">
        <v>330</v>
      </c>
      <c r="L48" s="656"/>
      <c r="M48" s="24" t="s">
        <v>587</v>
      </c>
    </row>
    <row r="49" spans="1:13" ht="51">
      <c r="A49" s="17"/>
      <c r="B49" s="624" t="s">
        <v>579</v>
      </c>
      <c r="C49" s="195"/>
      <c r="D49" s="385"/>
      <c r="E49" s="386"/>
      <c r="F49" s="387"/>
      <c r="G49" s="209" t="s">
        <v>182</v>
      </c>
      <c r="H49" s="634"/>
      <c r="I49" s="661"/>
      <c r="J49" s="77" t="s">
        <v>415</v>
      </c>
      <c r="K49" s="634"/>
      <c r="L49" s="654"/>
      <c r="M49" s="28" t="s">
        <v>587</v>
      </c>
    </row>
    <row r="50" spans="1:13" ht="39" thickBot="1">
      <c r="A50" s="230" t="s">
        <v>81</v>
      </c>
      <c r="B50" s="704" t="s">
        <v>73</v>
      </c>
      <c r="C50" s="708"/>
      <c r="D50" s="709"/>
      <c r="E50" s="710"/>
      <c r="F50" s="711"/>
      <c r="G50" s="712" t="s">
        <v>287</v>
      </c>
      <c r="H50" s="713"/>
      <c r="I50" s="718"/>
      <c r="J50" s="719" t="s">
        <v>415</v>
      </c>
      <c r="K50" s="713"/>
      <c r="L50" s="715"/>
      <c r="M50" s="184"/>
    </row>
    <row r="51" spans="1:13">
      <c r="A51" s="206"/>
      <c r="B51" s="112"/>
      <c r="C51" s="113"/>
      <c r="D51" s="258">
        <f>SUM(D37:D50)</f>
        <v>0</v>
      </c>
      <c r="E51" s="406">
        <f>SUM(E37:E50)</f>
        <v>9781.6</v>
      </c>
      <c r="F51" s="407">
        <f>SUM(F37:F50)</f>
        <v>16399.900000000001</v>
      </c>
      <c r="G51" s="112"/>
      <c r="H51" s="112"/>
      <c r="I51" s="112"/>
      <c r="J51" s="112"/>
      <c r="K51" s="112"/>
      <c r="L51" s="112"/>
      <c r="M51" s="112"/>
    </row>
    <row r="52" spans="1:13" ht="15.75" thickBot="1">
      <c r="A52" s="206"/>
      <c r="B52" s="112"/>
      <c r="C52" s="113"/>
      <c r="D52" s="203" t="s">
        <v>360</v>
      </c>
      <c r="E52" s="204" t="s">
        <v>361</v>
      </c>
      <c r="F52" s="205" t="s">
        <v>362</v>
      </c>
      <c r="G52" s="112"/>
      <c r="H52" s="112"/>
      <c r="I52" s="112"/>
      <c r="J52" s="112"/>
      <c r="K52" s="112"/>
      <c r="L52" s="112"/>
      <c r="M52" s="112"/>
    </row>
    <row r="53" spans="1:13" ht="14.65" customHeight="1">
      <c r="A53" s="672" t="s">
        <v>483</v>
      </c>
      <c r="B53" s="673"/>
      <c r="C53" s="1142" t="s">
        <v>486</v>
      </c>
      <c r="D53" s="1143"/>
      <c r="E53" s="1143"/>
      <c r="F53" s="1143"/>
      <c r="G53" s="1143"/>
      <c r="H53" s="1144"/>
      <c r="I53" s="1145" t="s">
        <v>479</v>
      </c>
      <c r="J53" s="1145"/>
      <c r="K53" s="1146"/>
      <c r="L53" s="564"/>
      <c r="M53" s="561"/>
    </row>
    <row r="54" spans="1:13" ht="25.5">
      <c r="A54" s="138" t="s">
        <v>131</v>
      </c>
      <c r="B54" s="575" t="s">
        <v>117</v>
      </c>
      <c r="C54" s="586" t="s">
        <v>480</v>
      </c>
      <c r="D54" s="570" t="s">
        <v>360</v>
      </c>
      <c r="E54" s="571" t="s">
        <v>361</v>
      </c>
      <c r="F54" s="572" t="s">
        <v>362</v>
      </c>
      <c r="G54" s="573" t="s">
        <v>599</v>
      </c>
      <c r="H54" s="587" t="s">
        <v>422</v>
      </c>
      <c r="I54" s="125" t="s">
        <v>480</v>
      </c>
      <c r="J54" s="104" t="s">
        <v>523</v>
      </c>
      <c r="K54" s="609" t="s">
        <v>422</v>
      </c>
      <c r="L54" s="602" t="s">
        <v>565</v>
      </c>
      <c r="M54" s="11" t="s">
        <v>345</v>
      </c>
    </row>
    <row r="55" spans="1:13" ht="114.75">
      <c r="A55" s="105" t="s">
        <v>137</v>
      </c>
      <c r="B55" s="699" t="s">
        <v>591</v>
      </c>
      <c r="C55" s="588"/>
      <c r="D55" s="408"/>
      <c r="E55" s="409"/>
      <c r="F55" s="410"/>
      <c r="G55" s="200" t="s">
        <v>592</v>
      </c>
      <c r="H55" s="682" t="s">
        <v>1062</v>
      </c>
      <c r="I55" s="200"/>
      <c r="J55" s="91" t="s">
        <v>331</v>
      </c>
      <c r="K55" s="91"/>
      <c r="L55" s="97"/>
      <c r="M55" s="131" t="s">
        <v>598</v>
      </c>
    </row>
    <row r="56" spans="1:13" ht="127.5">
      <c r="A56" s="106"/>
      <c r="B56" s="700" t="s">
        <v>590</v>
      </c>
      <c r="C56" s="592"/>
      <c r="D56" s="411"/>
      <c r="E56" s="412"/>
      <c r="F56" s="413"/>
      <c r="G56" s="202" t="s">
        <v>593</v>
      </c>
      <c r="H56" s="642" t="s">
        <v>960</v>
      </c>
      <c r="I56" s="202"/>
      <c r="J56" s="92" t="s">
        <v>331</v>
      </c>
      <c r="K56" s="92"/>
      <c r="L56" s="98"/>
      <c r="M56" s="1038" t="s">
        <v>598</v>
      </c>
    </row>
    <row r="57" spans="1:13" ht="84.4" customHeight="1">
      <c r="A57" s="107"/>
      <c r="B57" s="701" t="s">
        <v>243</v>
      </c>
      <c r="C57" s="683"/>
      <c r="D57" s="385"/>
      <c r="E57" s="386"/>
      <c r="F57" s="387"/>
      <c r="G57" s="201" t="s">
        <v>594</v>
      </c>
      <c r="H57" s="643" t="s">
        <v>960</v>
      </c>
      <c r="I57" s="201"/>
      <c r="J57" s="93" t="s">
        <v>331</v>
      </c>
      <c r="K57" s="93"/>
      <c r="L57" s="99"/>
      <c r="M57" s="1039" t="s">
        <v>598</v>
      </c>
    </row>
    <row r="58" spans="1:13" ht="76.5">
      <c r="A58" s="105" t="s">
        <v>138</v>
      </c>
      <c r="B58" s="675" t="s">
        <v>244</v>
      </c>
      <c r="C58" s="588"/>
      <c r="D58" s="379"/>
      <c r="E58" s="395"/>
      <c r="F58" s="390"/>
      <c r="G58" s="200" t="s">
        <v>1063</v>
      </c>
      <c r="H58" s="682"/>
      <c r="I58" s="200"/>
      <c r="J58" s="91" t="s">
        <v>597</v>
      </c>
      <c r="K58" s="91"/>
      <c r="L58" s="97"/>
      <c r="M58" s="96"/>
    </row>
    <row r="59" spans="1:13" ht="95.65" customHeight="1">
      <c r="A59" s="105" t="s">
        <v>140</v>
      </c>
      <c r="B59" s="675" t="s">
        <v>139</v>
      </c>
      <c r="C59" s="588"/>
      <c r="D59" s="379"/>
      <c r="E59" s="395"/>
      <c r="F59" s="390"/>
      <c r="G59" s="200" t="s">
        <v>595</v>
      </c>
      <c r="H59" s="693"/>
      <c r="I59" s="702"/>
      <c r="J59" s="475" t="s">
        <v>330</v>
      </c>
      <c r="K59" s="475" t="s">
        <v>330</v>
      </c>
      <c r="L59" s="97"/>
      <c r="M59" s="97"/>
    </row>
    <row r="60" spans="1:13" ht="153.75" thickBot="1">
      <c r="A60" s="107"/>
      <c r="B60" s="676" t="s">
        <v>245</v>
      </c>
      <c r="C60" s="596"/>
      <c r="D60" s="482"/>
      <c r="E60" s="483"/>
      <c r="F60" s="484"/>
      <c r="G60" s="687" t="s">
        <v>596</v>
      </c>
      <c r="H60" s="621"/>
      <c r="I60" s="703"/>
      <c r="J60" s="476" t="s">
        <v>330</v>
      </c>
      <c r="K60" s="476" t="s">
        <v>330</v>
      </c>
      <c r="L60" s="99"/>
      <c r="M60" s="99"/>
    </row>
    <row r="61" spans="1:13">
      <c r="D61" s="258">
        <f>SUM(D55:D60)</f>
        <v>0</v>
      </c>
      <c r="E61" s="406">
        <f>SUM(E55:E60)</f>
        <v>0</v>
      </c>
      <c r="F61" s="407">
        <f>SUM(F55:F60)</f>
        <v>0</v>
      </c>
    </row>
    <row r="62" spans="1:13" ht="15.75" thickBot="1">
      <c r="A62" s="179"/>
      <c r="B62" s="180"/>
      <c r="C62" s="113"/>
      <c r="D62" s="203" t="s">
        <v>360</v>
      </c>
      <c r="E62" s="204" t="s">
        <v>361</v>
      </c>
      <c r="F62" s="205" t="s">
        <v>362</v>
      </c>
      <c r="G62" s="180"/>
      <c r="H62" s="180"/>
      <c r="I62" s="180"/>
      <c r="J62" s="180"/>
      <c r="K62" s="180"/>
      <c r="M62" s="181"/>
    </row>
    <row r="63" spans="1:13" ht="14.65" customHeight="1">
      <c r="A63" s="672" t="s">
        <v>340</v>
      </c>
      <c r="B63" s="673"/>
      <c r="C63" s="1142" t="s">
        <v>486</v>
      </c>
      <c r="D63" s="1143"/>
      <c r="E63" s="1143"/>
      <c r="F63" s="1143"/>
      <c r="G63" s="1143"/>
      <c r="H63" s="1144"/>
      <c r="I63" s="1142" t="s">
        <v>479</v>
      </c>
      <c r="J63" s="1145"/>
      <c r="K63" s="1146"/>
      <c r="L63" s="564"/>
      <c r="M63" s="561"/>
    </row>
    <row r="64" spans="1:13" ht="25.5">
      <c r="A64" s="138" t="s">
        <v>131</v>
      </c>
      <c r="B64" s="575" t="s">
        <v>117</v>
      </c>
      <c r="C64" s="586" t="s">
        <v>480</v>
      </c>
      <c r="D64" s="570" t="s">
        <v>360</v>
      </c>
      <c r="E64" s="571" t="s">
        <v>361</v>
      </c>
      <c r="F64" s="572" t="s">
        <v>362</v>
      </c>
      <c r="G64" s="573" t="s">
        <v>571</v>
      </c>
      <c r="H64" s="587" t="s">
        <v>422</v>
      </c>
      <c r="I64" s="608" t="s">
        <v>480</v>
      </c>
      <c r="J64" s="104" t="s">
        <v>523</v>
      </c>
      <c r="K64" s="609" t="s">
        <v>422</v>
      </c>
      <c r="L64" s="602" t="s">
        <v>565</v>
      </c>
      <c r="M64" s="11" t="s">
        <v>345</v>
      </c>
    </row>
    <row r="65" spans="1:13" ht="191.25">
      <c r="A65" s="20" t="s">
        <v>163</v>
      </c>
      <c r="B65" s="674" t="s">
        <v>600</v>
      </c>
      <c r="C65" s="588"/>
      <c r="D65" s="414"/>
      <c r="E65" s="415"/>
      <c r="F65" s="416"/>
      <c r="G65" s="199" t="s">
        <v>1165</v>
      </c>
      <c r="H65" s="681"/>
      <c r="I65" s="692"/>
      <c r="J65" s="477" t="s">
        <v>330</v>
      </c>
      <c r="K65" s="668" t="s">
        <v>330</v>
      </c>
      <c r="L65" s="659"/>
      <c r="M65" s="19"/>
    </row>
    <row r="66" spans="1:13" ht="133.5" customHeight="1">
      <c r="A66" s="105" t="s">
        <v>143</v>
      </c>
      <c r="B66" s="675" t="s">
        <v>601</v>
      </c>
      <c r="C66" s="592"/>
      <c r="D66" s="275"/>
      <c r="E66" s="396"/>
      <c r="F66" s="276"/>
      <c r="G66" s="200" t="s">
        <v>603</v>
      </c>
      <c r="H66" s="682" t="s">
        <v>604</v>
      </c>
      <c r="I66" s="278"/>
      <c r="J66" s="475" t="s">
        <v>330</v>
      </c>
      <c r="K66" s="693" t="s">
        <v>330</v>
      </c>
      <c r="L66" s="689"/>
      <c r="M66" s="97"/>
    </row>
    <row r="67" spans="1:13" ht="38.25">
      <c r="A67" s="107"/>
      <c r="B67" s="676" t="s">
        <v>246</v>
      </c>
      <c r="C67" s="683"/>
      <c r="D67" s="385"/>
      <c r="E67" s="386"/>
      <c r="F67" s="387"/>
      <c r="G67" s="201" t="s">
        <v>144</v>
      </c>
      <c r="H67" s="643" t="s">
        <v>604</v>
      </c>
      <c r="I67" s="280"/>
      <c r="J67" s="476" t="s">
        <v>330</v>
      </c>
      <c r="K67" s="694" t="s">
        <v>330</v>
      </c>
      <c r="L67" s="690"/>
      <c r="M67" s="99"/>
    </row>
    <row r="68" spans="1:13" ht="140.25">
      <c r="A68" s="66" t="s">
        <v>387</v>
      </c>
      <c r="B68" s="677" t="s">
        <v>602</v>
      </c>
      <c r="C68" s="588"/>
      <c r="D68" s="379"/>
      <c r="E68" s="395"/>
      <c r="F68" s="390"/>
      <c r="G68" s="200" t="s">
        <v>388</v>
      </c>
      <c r="H68" s="594" t="s">
        <v>605</v>
      </c>
      <c r="I68" s="617"/>
      <c r="J68" s="475" t="s">
        <v>330</v>
      </c>
      <c r="K68" s="693" t="s">
        <v>330</v>
      </c>
      <c r="L68" s="606"/>
      <c r="M68" s="132"/>
    </row>
    <row r="69" spans="1:13" ht="178.5">
      <c r="A69" s="69"/>
      <c r="B69" s="632" t="s">
        <v>386</v>
      </c>
      <c r="C69" s="591"/>
      <c r="D69" s="385"/>
      <c r="E69" s="386"/>
      <c r="F69" s="387"/>
      <c r="G69" s="201" t="s">
        <v>1175</v>
      </c>
      <c r="H69" s="684" t="s">
        <v>1022</v>
      </c>
      <c r="I69" s="695"/>
      <c r="J69" s="93" t="s">
        <v>207</v>
      </c>
      <c r="K69" s="643"/>
      <c r="L69" s="607"/>
      <c r="M69" s="290"/>
    </row>
    <row r="70" spans="1:13" ht="76.5">
      <c r="A70" s="136" t="s">
        <v>83</v>
      </c>
      <c r="B70" s="678" t="s">
        <v>84</v>
      </c>
      <c r="C70" s="685"/>
      <c r="D70" s="408"/>
      <c r="E70" s="409"/>
      <c r="F70" s="410"/>
      <c r="G70" s="228" t="s">
        <v>211</v>
      </c>
      <c r="H70" s="686"/>
      <c r="I70" s="696"/>
      <c r="J70" s="124" t="s">
        <v>408</v>
      </c>
      <c r="K70" s="686"/>
      <c r="L70" s="691" t="s">
        <v>606</v>
      </c>
      <c r="M70" s="132"/>
    </row>
    <row r="71" spans="1:13" ht="102">
      <c r="A71" s="68"/>
      <c r="B71" s="679" t="s">
        <v>247</v>
      </c>
      <c r="C71" s="591"/>
      <c r="D71" s="385"/>
      <c r="E71" s="386"/>
      <c r="F71" s="387"/>
      <c r="G71" s="201" t="s">
        <v>214</v>
      </c>
      <c r="H71" s="643"/>
      <c r="I71" s="280"/>
      <c r="J71" s="93" t="s">
        <v>408</v>
      </c>
      <c r="K71" s="643"/>
      <c r="L71" s="607" t="s">
        <v>607</v>
      </c>
      <c r="M71" s="290"/>
    </row>
    <row r="72" spans="1:13" ht="127.5">
      <c r="A72" s="66" t="s">
        <v>80</v>
      </c>
      <c r="B72" s="680" t="s">
        <v>248</v>
      </c>
      <c r="C72" s="588"/>
      <c r="D72" s="379"/>
      <c r="E72" s="395"/>
      <c r="F72" s="390"/>
      <c r="G72" s="200" t="s">
        <v>217</v>
      </c>
      <c r="H72" s="682"/>
      <c r="I72" s="278"/>
      <c r="J72" s="475" t="s">
        <v>330</v>
      </c>
      <c r="K72" s="693" t="s">
        <v>330</v>
      </c>
      <c r="L72" s="606" t="s">
        <v>1196</v>
      </c>
      <c r="M72" s="132"/>
    </row>
    <row r="73" spans="1:13" ht="102.75" thickBot="1">
      <c r="A73" s="68"/>
      <c r="B73" s="679" t="s">
        <v>288</v>
      </c>
      <c r="C73" s="596"/>
      <c r="D73" s="482"/>
      <c r="E73" s="483"/>
      <c r="F73" s="484"/>
      <c r="G73" s="687" t="s">
        <v>208</v>
      </c>
      <c r="H73" s="688"/>
      <c r="I73" s="697"/>
      <c r="J73" s="698" t="s">
        <v>408</v>
      </c>
      <c r="K73" s="688"/>
      <c r="L73" s="607" t="s">
        <v>608</v>
      </c>
      <c r="M73" s="290"/>
    </row>
    <row r="74" spans="1:13">
      <c r="D74" s="417">
        <f>SUM(D65:D73)</f>
        <v>0</v>
      </c>
      <c r="E74" s="418">
        <f>SUM(E65:E73)</f>
        <v>0</v>
      </c>
      <c r="F74" s="419">
        <f>SUM(F65:F73)</f>
        <v>0</v>
      </c>
    </row>
    <row r="75" spans="1:13" ht="15.75" thickBot="1">
      <c r="A75" s="1056" t="s">
        <v>546</v>
      </c>
      <c r="D75" s="203" t="s">
        <v>360</v>
      </c>
      <c r="E75" s="204" t="s">
        <v>361</v>
      </c>
      <c r="F75" s="205" t="s">
        <v>362</v>
      </c>
    </row>
    <row r="76" spans="1:13">
      <c r="A76" s="1056" t="s">
        <v>533</v>
      </c>
    </row>
    <row r="77" spans="1:13" s="1059" customFormat="1" ht="12.75">
      <c r="A77" s="1056" t="s">
        <v>535</v>
      </c>
      <c r="B77" s="1057"/>
      <c r="C77" s="1060"/>
      <c r="D77" s="1061"/>
      <c r="E77" s="1061"/>
      <c r="F77" s="1061"/>
      <c r="G77" s="1060"/>
      <c r="H77" s="1060"/>
      <c r="I77" s="1060"/>
      <c r="J77" s="1060"/>
      <c r="K77" s="1060"/>
      <c r="L77" s="1056"/>
      <c r="M77" s="1056"/>
    </row>
    <row r="78" spans="1:13" s="1059" customFormat="1" ht="12.75">
      <c r="A78" s="1056" t="s">
        <v>611</v>
      </c>
      <c r="B78" s="1057"/>
      <c r="C78" s="1060"/>
      <c r="D78" s="1061"/>
      <c r="E78" s="1061"/>
      <c r="F78" s="1061"/>
      <c r="G78" s="1060"/>
      <c r="H78" s="1060"/>
      <c r="I78" s="1060"/>
      <c r="J78" s="1060"/>
      <c r="K78" s="1060"/>
      <c r="L78" s="1056"/>
      <c r="M78" s="1056"/>
    </row>
    <row r="79" spans="1:13" s="1059" customFormat="1" ht="12.75">
      <c r="A79" s="1056" t="s">
        <v>610</v>
      </c>
      <c r="B79" s="1057"/>
      <c r="C79" s="1057"/>
      <c r="D79" s="1061"/>
      <c r="E79" s="1061"/>
      <c r="F79" s="1061"/>
      <c r="G79" s="1060"/>
      <c r="H79" s="1060"/>
      <c r="I79" s="1060"/>
      <c r="J79" s="1060"/>
      <c r="K79" s="1060"/>
      <c r="L79" s="1056"/>
      <c r="M79" s="1056"/>
    </row>
    <row r="80" spans="1:13" s="1059" customFormat="1" ht="12.75">
      <c r="A80" s="1056" t="s">
        <v>846</v>
      </c>
      <c r="B80" s="1060"/>
      <c r="C80" s="1060"/>
      <c r="D80" s="1061"/>
      <c r="E80" s="1061"/>
      <c r="F80" s="1061"/>
      <c r="G80" s="1060"/>
      <c r="H80" s="1060"/>
      <c r="I80" s="1060"/>
      <c r="J80" s="1060"/>
      <c r="K80" s="1060"/>
      <c r="L80" s="1056"/>
      <c r="M80" s="1056"/>
    </row>
    <row r="81" spans="2:13" s="1059" customFormat="1" ht="12.75">
      <c r="B81" s="1060"/>
      <c r="C81" s="1060"/>
      <c r="D81" s="1061"/>
      <c r="E81" s="1061"/>
      <c r="F81" s="1061"/>
      <c r="G81" s="1060"/>
      <c r="H81" s="1060"/>
      <c r="I81" s="1060"/>
      <c r="J81" s="1060"/>
      <c r="K81" s="1060"/>
      <c r="L81" s="1056"/>
      <c r="M81" s="1056"/>
    </row>
    <row r="82" spans="2:13" s="1059" customFormat="1" ht="12.75">
      <c r="B82" s="1060"/>
      <c r="C82" s="1060"/>
      <c r="D82" s="1061"/>
      <c r="E82" s="1061"/>
      <c r="F82" s="1061"/>
      <c r="G82" s="1060"/>
      <c r="H82" s="1060"/>
      <c r="I82" s="1060"/>
      <c r="J82" s="1060"/>
      <c r="K82" s="1060"/>
      <c r="L82" s="1056"/>
      <c r="M82" s="1056"/>
    </row>
  </sheetData>
  <mergeCells count="14">
    <mergeCell ref="L1:M1"/>
    <mergeCell ref="A13:A14"/>
    <mergeCell ref="A10:B10"/>
    <mergeCell ref="C10:K10"/>
    <mergeCell ref="L10:M10"/>
    <mergeCell ref="C11:H11"/>
    <mergeCell ref="I11:K11"/>
    <mergeCell ref="C53:H53"/>
    <mergeCell ref="I53:K53"/>
    <mergeCell ref="C63:H63"/>
    <mergeCell ref="I63:K63"/>
    <mergeCell ref="A1:B1"/>
    <mergeCell ref="C35:H35"/>
    <mergeCell ref="I35:K35"/>
  </mergeCells>
  <hyperlinks>
    <hyperlink ref="M15" r:id="rId1" display="http://www.aihw.gov.au/indigenous-data/health-performance-framework/" xr:uid="{D54FEB01-E08B-4F91-B012-B97D123B7B0E}"/>
  </hyperlinks>
  <pageMargins left="0.7" right="0.7" top="0.75" bottom="0.75" header="0.3" footer="0.3"/>
  <pageSetup paperSize="9" scale="36" orientation="portrait" horizontalDpi="4294967293"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F88E-1384-4350-BC9E-2B289BB5A166}">
  <dimension ref="A1:H10"/>
  <sheetViews>
    <sheetView zoomScale="75" zoomScaleNormal="75" workbookViewId="0">
      <selection activeCell="N12" sqref="N12"/>
    </sheetView>
  </sheetViews>
  <sheetFormatPr defaultColWidth="8.7109375" defaultRowHeight="15"/>
  <cols>
    <col min="1" max="1" width="26.140625" customWidth="1"/>
    <col min="2" max="3" width="10.140625" bestFit="1" customWidth="1"/>
    <col min="4" max="4" width="11.7109375" bestFit="1" customWidth="1"/>
  </cols>
  <sheetData>
    <row r="1" spans="1:8" ht="21">
      <c r="A1" s="213" t="s">
        <v>489</v>
      </c>
      <c r="B1" s="214"/>
      <c r="C1" s="214"/>
      <c r="D1" s="214"/>
      <c r="H1" s="973" t="s">
        <v>497</v>
      </c>
    </row>
    <row r="2" spans="1:8" ht="21">
      <c r="A2" s="214"/>
      <c r="B2" s="215" t="s">
        <v>367</v>
      </c>
      <c r="C2" s="215" t="s">
        <v>368</v>
      </c>
      <c r="D2" s="215" t="s">
        <v>369</v>
      </c>
    </row>
    <row r="3" spans="1:8" ht="21">
      <c r="A3" s="216" t="s">
        <v>612</v>
      </c>
      <c r="B3" s="217">
        <f>'D2 Economy Worksheet'!D33</f>
        <v>5608</v>
      </c>
      <c r="C3" s="217">
        <f>'D2 Economy Worksheet'!E33</f>
        <v>0</v>
      </c>
      <c r="D3" s="217">
        <f>'D2 Economy Worksheet'!F33</f>
        <v>0</v>
      </c>
    </row>
    <row r="4" spans="1:8" ht="21">
      <c r="A4" s="218" t="s">
        <v>365</v>
      </c>
      <c r="B4" s="219">
        <f>'D2 Economy Worksheet'!D51</f>
        <v>0</v>
      </c>
      <c r="C4" s="219">
        <f>'D2 Economy Worksheet'!E51</f>
        <v>9781.6</v>
      </c>
      <c r="D4" s="219">
        <f>'D2 Economy Worksheet'!F51</f>
        <v>16399.900000000001</v>
      </c>
    </row>
    <row r="5" spans="1:8" ht="21">
      <c r="A5" s="218" t="s">
        <v>370</v>
      </c>
      <c r="B5" s="219">
        <f>'D2 Economy Worksheet'!D61</f>
        <v>0</v>
      </c>
      <c r="C5" s="219">
        <f>'D2 Economy Worksheet'!E61</f>
        <v>0</v>
      </c>
      <c r="D5" s="219">
        <f>'D2 Economy Worksheet'!F61</f>
        <v>0</v>
      </c>
    </row>
    <row r="6" spans="1:8" ht="21">
      <c r="A6" s="220" t="s">
        <v>366</v>
      </c>
      <c r="B6" s="221">
        <f>'D2 Economy Worksheet'!D74</f>
        <v>0</v>
      </c>
      <c r="C6" s="221">
        <f>'D2 Economy Worksheet'!E74</f>
        <v>0</v>
      </c>
      <c r="D6" s="221">
        <f>'D2 Economy Worksheet'!F74</f>
        <v>0</v>
      </c>
    </row>
    <row r="7" spans="1:8" ht="21">
      <c r="A7" s="214" t="s">
        <v>371</v>
      </c>
      <c r="B7" s="214"/>
      <c r="C7" s="214"/>
      <c r="D7" s="214"/>
    </row>
    <row r="8" spans="1:8" ht="21">
      <c r="A8" s="214" t="s">
        <v>549</v>
      </c>
      <c r="B8" s="214"/>
      <c r="C8" s="214"/>
      <c r="D8" s="214"/>
    </row>
    <row r="9" spans="1:8" ht="21">
      <c r="A9" s="214" t="s">
        <v>550</v>
      </c>
      <c r="B9" s="214"/>
      <c r="C9" s="214"/>
      <c r="D9" s="214"/>
    </row>
    <row r="10" spans="1:8" ht="21">
      <c r="A10" s="214" t="s">
        <v>551</v>
      </c>
      <c r="B10" s="214"/>
      <c r="C10" s="214"/>
      <c r="D10" s="21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AEE4-3D4C-4876-A48C-81F34B261E38}">
  <sheetPr>
    <pageSetUpPr fitToPage="1"/>
  </sheetPr>
  <dimension ref="A1:N51"/>
  <sheetViews>
    <sheetView zoomScale="75" zoomScaleNormal="75" workbookViewId="0">
      <selection activeCell="L1" sqref="L1:M1"/>
    </sheetView>
  </sheetViews>
  <sheetFormatPr defaultColWidth="8.7109375" defaultRowHeight="15"/>
  <cols>
    <col min="1" max="2" width="20.7109375" style="2" customWidth="1"/>
    <col min="3" max="3" width="10.7109375" style="5" customWidth="1"/>
    <col min="4" max="4" width="6.7109375" style="5" customWidth="1"/>
    <col min="5" max="5" width="7.42578125" style="5" bestFit="1" customWidth="1"/>
    <col min="6" max="6" width="6.7109375" style="5" customWidth="1"/>
    <col min="7" max="8" width="28.7109375" style="2" customWidth="1"/>
    <col min="9" max="9" width="10.7109375" style="2" customWidth="1"/>
    <col min="10" max="13" width="28.7109375" style="2" customWidth="1"/>
  </cols>
  <sheetData>
    <row r="1" spans="1:13" ht="21">
      <c r="A1" s="1152" t="s">
        <v>221</v>
      </c>
      <c r="B1" s="1152"/>
      <c r="C1" s="95"/>
      <c r="D1" s="95"/>
      <c r="E1" s="95"/>
      <c r="F1" s="95"/>
      <c r="G1" s="973" t="s">
        <v>497</v>
      </c>
      <c r="H1" s="121"/>
      <c r="I1" s="121"/>
      <c r="J1" s="121"/>
      <c r="K1" s="120"/>
      <c r="L1" s="1148"/>
      <c r="M1" s="1149"/>
    </row>
    <row r="2" spans="1:13" ht="15" customHeight="1">
      <c r="A2" s="291" t="s">
        <v>333</v>
      </c>
      <c r="B2" t="s">
        <v>282</v>
      </c>
      <c r="C2" s="94"/>
      <c r="D2" s="6"/>
      <c r="E2" s="6"/>
      <c r="F2" s="6"/>
      <c r="G2" s="6"/>
      <c r="H2" s="6"/>
      <c r="I2" s="6"/>
      <c r="J2" s="5"/>
      <c r="K2" s="6"/>
      <c r="L2"/>
      <c r="M2"/>
    </row>
    <row r="3" spans="1:13" ht="15" customHeight="1">
      <c r="A3" s="501" t="s">
        <v>334</v>
      </c>
      <c r="B3" t="s">
        <v>308</v>
      </c>
      <c r="C3" s="94"/>
      <c r="D3" s="6"/>
      <c r="E3" s="6"/>
      <c r="F3" s="6"/>
      <c r="G3" s="6"/>
      <c r="H3" s="6"/>
      <c r="I3" s="6"/>
      <c r="J3" s="6"/>
      <c r="K3" s="6"/>
      <c r="L3"/>
      <c r="M3"/>
    </row>
    <row r="4" spans="1:13" ht="15" customHeight="1">
      <c r="A4" s="292" t="s">
        <v>520</v>
      </c>
      <c r="B4" t="s">
        <v>521</v>
      </c>
      <c r="C4" s="94"/>
      <c r="D4" s="6"/>
      <c r="E4" s="6"/>
      <c r="F4" s="6"/>
      <c r="G4" s="6"/>
      <c r="H4" s="6"/>
      <c r="I4" s="6"/>
      <c r="J4" s="6"/>
      <c r="K4" s="6"/>
      <c r="L4"/>
      <c r="M4"/>
    </row>
    <row r="5" spans="1:13" ht="15" customHeight="1">
      <c r="A5" s="622" t="s">
        <v>487</v>
      </c>
      <c r="B5"/>
      <c r="C5" s="94"/>
      <c r="D5" s="6"/>
      <c r="E5" s="6"/>
      <c r="F5" s="6"/>
      <c r="G5" s="6"/>
      <c r="H5" s="6"/>
      <c r="I5" s="6"/>
      <c r="J5" s="6"/>
      <c r="K5" s="6"/>
      <c r="L5"/>
      <c r="M5"/>
    </row>
    <row r="6" spans="1:13">
      <c r="A6" s="293"/>
      <c r="B6" s="35" t="s">
        <v>136</v>
      </c>
      <c r="C6" s="6"/>
      <c r="D6" s="6"/>
      <c r="E6" s="6"/>
      <c r="F6" s="6"/>
      <c r="G6" s="6"/>
      <c r="H6" s="35"/>
      <c r="I6" s="35"/>
      <c r="J6" s="6"/>
      <c r="K6" s="6"/>
      <c r="L6"/>
      <c r="M6"/>
    </row>
    <row r="7" spans="1:13">
      <c r="A7" s="294"/>
      <c r="B7" s="35" t="s">
        <v>329</v>
      </c>
      <c r="C7" s="6"/>
      <c r="D7" s="6"/>
      <c r="E7" s="6"/>
      <c r="F7" s="6"/>
      <c r="G7" s="6"/>
      <c r="H7" s="35"/>
      <c r="I7" s="35"/>
      <c r="J7" s="6"/>
      <c r="K7" s="6"/>
      <c r="L7"/>
      <c r="M7"/>
    </row>
    <row r="8" spans="1:13">
      <c r="A8" s="295"/>
      <c r="B8" s="35" t="s">
        <v>380</v>
      </c>
      <c r="C8" s="6"/>
      <c r="D8" s="6"/>
      <c r="E8" s="6"/>
      <c r="F8" s="6"/>
      <c r="G8" s="6"/>
      <c r="H8" s="35"/>
      <c r="I8" s="35"/>
      <c r="J8" s="6"/>
      <c r="K8" s="6"/>
      <c r="L8"/>
      <c r="M8"/>
    </row>
    <row r="9" spans="1:13">
      <c r="A9" s="296" t="s">
        <v>391</v>
      </c>
      <c r="B9" s="35" t="s">
        <v>392</v>
      </c>
      <c r="C9" s="6"/>
      <c r="D9" s="6"/>
      <c r="E9" s="6"/>
      <c r="F9" s="6"/>
      <c r="G9" s="6"/>
      <c r="H9" s="35"/>
      <c r="I9" s="35"/>
      <c r="J9" s="6"/>
      <c r="K9" s="6"/>
      <c r="L9"/>
      <c r="M9"/>
    </row>
    <row r="10" spans="1:13" ht="77.650000000000006" customHeight="1" thickBot="1">
      <c r="A10" s="1137"/>
      <c r="B10" s="1138"/>
      <c r="C10" s="1139" t="s">
        <v>1170</v>
      </c>
      <c r="D10" s="1140"/>
      <c r="E10" s="1140"/>
      <c r="F10" s="1140"/>
      <c r="G10" s="1140"/>
      <c r="H10" s="1140"/>
      <c r="I10" s="1140"/>
      <c r="J10" s="1140"/>
      <c r="K10" s="1141"/>
      <c r="L10" s="1135" t="s">
        <v>134</v>
      </c>
      <c r="M10" s="1136"/>
    </row>
    <row r="11" spans="1:13">
      <c r="A11" s="672" t="s">
        <v>257</v>
      </c>
      <c r="B11" s="673"/>
      <c r="C11" s="1142" t="s">
        <v>486</v>
      </c>
      <c r="D11" s="1143"/>
      <c r="E11" s="1143"/>
      <c r="F11" s="1143"/>
      <c r="G11" s="1143"/>
      <c r="H11" s="1144"/>
      <c r="I11" s="1142" t="s">
        <v>479</v>
      </c>
      <c r="J11" s="1145"/>
      <c r="K11" s="1146"/>
      <c r="L11" s="564"/>
      <c r="M11" s="561"/>
    </row>
    <row r="12" spans="1:13" ht="25.5">
      <c r="A12" s="138" t="s">
        <v>131</v>
      </c>
      <c r="B12" s="575" t="s">
        <v>117</v>
      </c>
      <c r="C12" s="586" t="s">
        <v>480</v>
      </c>
      <c r="D12" s="570" t="s">
        <v>360</v>
      </c>
      <c r="E12" s="571" t="s">
        <v>361</v>
      </c>
      <c r="F12" s="572" t="s">
        <v>362</v>
      </c>
      <c r="G12" s="573" t="s">
        <v>571</v>
      </c>
      <c r="H12" s="587" t="s">
        <v>422</v>
      </c>
      <c r="I12" s="608" t="s">
        <v>480</v>
      </c>
      <c r="J12" s="104" t="s">
        <v>523</v>
      </c>
      <c r="K12" s="609" t="s">
        <v>422</v>
      </c>
      <c r="L12" s="602" t="s">
        <v>565</v>
      </c>
      <c r="M12" s="11" t="s">
        <v>566</v>
      </c>
    </row>
    <row r="13" spans="1:13" ht="63.75">
      <c r="A13" s="29" t="s">
        <v>15</v>
      </c>
      <c r="B13" s="623" t="s">
        <v>252</v>
      </c>
      <c r="C13" s="588"/>
      <c r="D13" s="379"/>
      <c r="E13" s="395"/>
      <c r="F13" s="390"/>
      <c r="G13" s="208" t="s">
        <v>183</v>
      </c>
      <c r="H13" s="635"/>
      <c r="I13" s="521"/>
      <c r="J13" s="79" t="s">
        <v>408</v>
      </c>
      <c r="K13" s="635"/>
      <c r="L13" s="655" t="s">
        <v>935</v>
      </c>
      <c r="M13" s="38" t="s">
        <v>936</v>
      </c>
    </row>
    <row r="14" spans="1:13" ht="76.5">
      <c r="A14" s="41"/>
      <c r="B14" s="720" t="s">
        <v>354</v>
      </c>
      <c r="C14" s="685"/>
      <c r="D14" s="408">
        <v>168</v>
      </c>
      <c r="E14" s="409"/>
      <c r="F14" s="410"/>
      <c r="G14" s="224" t="s">
        <v>618</v>
      </c>
      <c r="H14" s="706" t="s">
        <v>1069</v>
      </c>
      <c r="I14" s="665"/>
      <c r="J14" s="84" t="s">
        <v>408</v>
      </c>
      <c r="K14" s="706" t="s">
        <v>394</v>
      </c>
      <c r="L14" s="722"/>
      <c r="M14" s="57"/>
    </row>
    <row r="15" spans="1:13" ht="25.5">
      <c r="A15" s="41"/>
      <c r="B15" s="720" t="s">
        <v>146</v>
      </c>
      <c r="C15" s="592"/>
      <c r="D15" s="408"/>
      <c r="E15" s="409"/>
      <c r="F15" s="410"/>
      <c r="G15" s="224" t="s">
        <v>183</v>
      </c>
      <c r="H15" s="706"/>
      <c r="I15" s="665"/>
      <c r="J15" s="84" t="s">
        <v>408</v>
      </c>
      <c r="K15" s="706"/>
      <c r="L15" s="722"/>
      <c r="M15" s="57"/>
    </row>
    <row r="16" spans="1:13" ht="25.5">
      <c r="A16" s="41"/>
      <c r="B16" s="625" t="s">
        <v>148</v>
      </c>
      <c r="C16" s="592"/>
      <c r="D16" s="382"/>
      <c r="E16" s="394"/>
      <c r="F16" s="393"/>
      <c r="G16" s="192" t="s">
        <v>183</v>
      </c>
      <c r="H16" s="590"/>
      <c r="I16" s="522"/>
      <c r="J16" s="81" t="s">
        <v>408</v>
      </c>
      <c r="K16" s="590"/>
      <c r="L16" s="603"/>
      <c r="M16" s="61"/>
    </row>
    <row r="17" spans="1:14" ht="178.5">
      <c r="A17" s="41"/>
      <c r="B17" s="628" t="s">
        <v>626</v>
      </c>
      <c r="C17" s="592"/>
      <c r="D17" s="382"/>
      <c r="E17" s="394"/>
      <c r="F17" s="393">
        <f>1875*1.7</f>
        <v>3187.5</v>
      </c>
      <c r="G17" s="192" t="s">
        <v>617</v>
      </c>
      <c r="H17" s="590" t="s">
        <v>1068</v>
      </c>
      <c r="I17" s="522"/>
      <c r="J17" s="81" t="s">
        <v>615</v>
      </c>
      <c r="K17" s="590"/>
      <c r="L17" s="656"/>
      <c r="M17" s="24"/>
    </row>
    <row r="18" spans="1:14" ht="178.5">
      <c r="A18" s="41"/>
      <c r="B18" s="628" t="s">
        <v>355</v>
      </c>
      <c r="C18" s="592"/>
      <c r="D18" s="382"/>
      <c r="E18" s="394"/>
      <c r="F18" s="393"/>
      <c r="G18" s="192" t="s">
        <v>1070</v>
      </c>
      <c r="H18" s="590" t="s">
        <v>1176</v>
      </c>
      <c r="I18" s="522"/>
      <c r="J18" s="81" t="s">
        <v>408</v>
      </c>
      <c r="K18" s="590" t="s">
        <v>933</v>
      </c>
      <c r="L18" s="656" t="s">
        <v>934</v>
      </c>
      <c r="M18" s="24" t="s">
        <v>1065</v>
      </c>
    </row>
    <row r="19" spans="1:14" ht="140.25">
      <c r="A19" s="41"/>
      <c r="B19" s="625" t="s">
        <v>625</v>
      </c>
      <c r="C19" s="592"/>
      <c r="D19" s="382"/>
      <c r="E19" s="394"/>
      <c r="F19" s="393">
        <f>1124*1.7</f>
        <v>1910.8</v>
      </c>
      <c r="G19" s="192" t="s">
        <v>375</v>
      </c>
      <c r="H19" s="590" t="s">
        <v>1067</v>
      </c>
      <c r="I19" s="522"/>
      <c r="J19" s="81"/>
      <c r="K19" s="590"/>
      <c r="L19" s="656"/>
      <c r="M19" s="24"/>
    </row>
    <row r="20" spans="1:14" ht="51">
      <c r="A20" s="41"/>
      <c r="B20" s="625" t="s">
        <v>624</v>
      </c>
      <c r="C20" s="592"/>
      <c r="D20" s="382"/>
      <c r="E20" s="394">
        <f>4874.55*1.11</f>
        <v>5410.750500000001</v>
      </c>
      <c r="F20" s="393"/>
      <c r="G20" s="192"/>
      <c r="H20" s="590" t="s">
        <v>1066</v>
      </c>
      <c r="I20" s="522"/>
      <c r="J20" s="81" t="s">
        <v>408</v>
      </c>
      <c r="K20" s="590"/>
      <c r="L20" s="656"/>
      <c r="M20" s="24"/>
    </row>
    <row r="21" spans="1:14" ht="38.25">
      <c r="A21" s="37"/>
      <c r="B21" s="625" t="s">
        <v>623</v>
      </c>
      <c r="C21" s="592"/>
      <c r="D21" s="382"/>
      <c r="E21" s="394"/>
      <c r="F21" s="393"/>
      <c r="G21" s="192" t="s">
        <v>183</v>
      </c>
      <c r="H21" s="590"/>
      <c r="I21" s="522"/>
      <c r="J21" s="478" t="s">
        <v>330</v>
      </c>
      <c r="K21" s="666" t="s">
        <v>330</v>
      </c>
      <c r="L21" s="603"/>
      <c r="M21" s="24"/>
    </row>
    <row r="22" spans="1:14" ht="174" customHeight="1">
      <c r="A22" s="37"/>
      <c r="B22" s="625" t="s">
        <v>622</v>
      </c>
      <c r="C22" s="592"/>
      <c r="D22" s="382"/>
      <c r="E22" s="394"/>
      <c r="F22" s="393"/>
      <c r="G22" s="192" t="s">
        <v>183</v>
      </c>
      <c r="H22" s="590"/>
      <c r="I22" s="522"/>
      <c r="J22" s="478" t="s">
        <v>330</v>
      </c>
      <c r="K22" s="666" t="s">
        <v>330</v>
      </c>
      <c r="L22" s="723"/>
      <c r="M22" s="185"/>
    </row>
    <row r="23" spans="1:14" ht="38.25">
      <c r="A23" s="37"/>
      <c r="B23" s="628" t="s">
        <v>621</v>
      </c>
      <c r="C23" s="592"/>
      <c r="D23" s="382"/>
      <c r="E23" s="394"/>
      <c r="F23" s="393">
        <f>754*1.7</f>
        <v>1281.8</v>
      </c>
      <c r="G23" s="192" t="s">
        <v>176</v>
      </c>
      <c r="H23" s="590" t="s">
        <v>1071</v>
      </c>
      <c r="I23" s="522"/>
      <c r="J23" s="81" t="s">
        <v>408</v>
      </c>
      <c r="K23" s="590"/>
      <c r="L23" s="603" t="s">
        <v>720</v>
      </c>
      <c r="M23" s="24" t="s">
        <v>613</v>
      </c>
    </row>
    <row r="24" spans="1:14" ht="38.25">
      <c r="A24" s="37"/>
      <c r="B24" s="625" t="s">
        <v>253</v>
      </c>
      <c r="C24" s="592"/>
      <c r="D24" s="382"/>
      <c r="E24" s="394"/>
      <c r="F24" s="393"/>
      <c r="G24" s="192" t="s">
        <v>16</v>
      </c>
      <c r="H24" s="590"/>
      <c r="I24" s="522"/>
      <c r="J24" s="81" t="s">
        <v>408</v>
      </c>
      <c r="K24" s="590"/>
      <c r="L24" s="603" t="s">
        <v>720</v>
      </c>
      <c r="M24" s="23"/>
    </row>
    <row r="25" spans="1:14" ht="38.25">
      <c r="A25" s="37"/>
      <c r="B25" s="625" t="s">
        <v>620</v>
      </c>
      <c r="C25" s="592"/>
      <c r="D25" s="382"/>
      <c r="E25" s="394"/>
      <c r="F25" s="393"/>
      <c r="G25" s="192" t="s">
        <v>17</v>
      </c>
      <c r="H25" s="590"/>
      <c r="I25" s="522"/>
      <c r="J25" s="81" t="s">
        <v>408</v>
      </c>
      <c r="K25" s="590"/>
      <c r="L25" s="603" t="s">
        <v>720</v>
      </c>
      <c r="M25" s="23"/>
    </row>
    <row r="26" spans="1:14" ht="38.25">
      <c r="A26" s="67"/>
      <c r="B26" s="721" t="s">
        <v>619</v>
      </c>
      <c r="C26" s="592"/>
      <c r="D26" s="382"/>
      <c r="E26" s="394"/>
      <c r="F26" s="393"/>
      <c r="G26" s="130" t="s">
        <v>208</v>
      </c>
      <c r="H26" s="198"/>
      <c r="I26" s="636"/>
      <c r="J26" s="87" t="s">
        <v>408</v>
      </c>
      <c r="K26" s="198"/>
      <c r="L26" s="724" t="s">
        <v>208</v>
      </c>
      <c r="M26" s="98"/>
      <c r="N26" s="967"/>
    </row>
    <row r="27" spans="1:14" ht="64.5" thickBot="1">
      <c r="A27" s="150"/>
      <c r="B27" s="624" t="s">
        <v>18</v>
      </c>
      <c r="C27" s="596"/>
      <c r="D27" s="482"/>
      <c r="E27" s="483"/>
      <c r="F27" s="484">
        <f>435*1.7</f>
        <v>739.5</v>
      </c>
      <c r="G27" s="645" t="s">
        <v>616</v>
      </c>
      <c r="H27" s="646"/>
      <c r="I27" s="670"/>
      <c r="J27" s="671" t="s">
        <v>408</v>
      </c>
      <c r="K27" s="646"/>
      <c r="L27" s="658" t="s">
        <v>937</v>
      </c>
      <c r="M27" s="25" t="s">
        <v>614</v>
      </c>
    </row>
    <row r="28" spans="1:14">
      <c r="A28" s="112"/>
      <c r="B28" s="112"/>
      <c r="C28" s="113"/>
      <c r="D28" s="275">
        <f>SUM(D13:D27)</f>
        <v>168</v>
      </c>
      <c r="E28" s="396">
        <f t="shared" ref="E28:F28" si="0">SUM(E13:E27)</f>
        <v>5410.750500000001</v>
      </c>
      <c r="F28" s="276">
        <f t="shared" si="0"/>
        <v>7119.6</v>
      </c>
      <c r="G28" s="112"/>
      <c r="H28" s="112"/>
      <c r="I28" s="112"/>
      <c r="J28" s="112"/>
      <c r="K28" s="112"/>
      <c r="L28" s="112"/>
      <c r="M28" s="113"/>
    </row>
    <row r="29" spans="1:14" ht="15.75" thickBot="1">
      <c r="A29" s="112"/>
      <c r="B29" s="112"/>
      <c r="C29" s="113"/>
      <c r="D29" s="203" t="s">
        <v>360</v>
      </c>
      <c r="E29" s="204" t="s">
        <v>361</v>
      </c>
      <c r="F29" s="205" t="s">
        <v>362</v>
      </c>
      <c r="G29" s="112"/>
      <c r="H29" s="112"/>
      <c r="I29" s="112"/>
      <c r="J29" s="112"/>
      <c r="K29" s="112"/>
      <c r="L29" s="112"/>
      <c r="M29" s="113"/>
    </row>
    <row r="30" spans="1:14" ht="14.65" customHeight="1">
      <c r="A30" s="672" t="s">
        <v>258</v>
      </c>
      <c r="B30" s="673"/>
      <c r="C30" s="1142" t="s">
        <v>486</v>
      </c>
      <c r="D30" s="1143"/>
      <c r="E30" s="1143"/>
      <c r="F30" s="1143"/>
      <c r="G30" s="1143"/>
      <c r="H30" s="1144"/>
      <c r="I30" s="1142" t="s">
        <v>479</v>
      </c>
      <c r="J30" s="1145"/>
      <c r="K30" s="1146"/>
      <c r="L30" s="564"/>
      <c r="M30" s="561"/>
    </row>
    <row r="31" spans="1:14" ht="25.5">
      <c r="A31" s="138" t="s">
        <v>131</v>
      </c>
      <c r="B31" s="575" t="s">
        <v>117</v>
      </c>
      <c r="C31" s="586" t="s">
        <v>480</v>
      </c>
      <c r="D31" s="570" t="s">
        <v>360</v>
      </c>
      <c r="E31" s="571" t="s">
        <v>361</v>
      </c>
      <c r="F31" s="572" t="s">
        <v>362</v>
      </c>
      <c r="G31" s="573" t="s">
        <v>599</v>
      </c>
      <c r="H31" s="587" t="s">
        <v>422</v>
      </c>
      <c r="I31" s="608" t="s">
        <v>480</v>
      </c>
      <c r="J31" s="104" t="s">
        <v>523</v>
      </c>
      <c r="K31" s="609" t="s">
        <v>422</v>
      </c>
      <c r="L31" s="602" t="s">
        <v>565</v>
      </c>
      <c r="M31" s="11" t="s">
        <v>566</v>
      </c>
    </row>
    <row r="32" spans="1:14" ht="191.25">
      <c r="A32" s="29" t="s">
        <v>19</v>
      </c>
      <c r="B32" s="725" t="s">
        <v>627</v>
      </c>
      <c r="C32" s="610"/>
      <c r="D32" s="379">
        <v>3016</v>
      </c>
      <c r="E32" s="395">
        <f>2600*1.11</f>
        <v>2886.0000000000005</v>
      </c>
      <c r="F32" s="390"/>
      <c r="G32" s="208" t="s">
        <v>941</v>
      </c>
      <c r="H32" s="635" t="s">
        <v>1195</v>
      </c>
      <c r="I32" s="521"/>
      <c r="J32" s="79" t="s">
        <v>632</v>
      </c>
      <c r="K32" s="635"/>
      <c r="L32" s="655" t="s">
        <v>939</v>
      </c>
      <c r="M32" s="27"/>
    </row>
    <row r="33" spans="1:13" ht="204">
      <c r="A33" s="41"/>
      <c r="B33" s="629" t="s">
        <v>22</v>
      </c>
      <c r="C33" s="636"/>
      <c r="D33" s="411"/>
      <c r="E33" s="412">
        <v>17784</v>
      </c>
      <c r="F33" s="413"/>
      <c r="G33" s="209" t="s">
        <v>637</v>
      </c>
      <c r="H33" s="634" t="s">
        <v>1194</v>
      </c>
      <c r="I33" s="661"/>
      <c r="J33" s="77" t="s">
        <v>436</v>
      </c>
      <c r="K33" s="634" t="s">
        <v>633</v>
      </c>
      <c r="L33" s="658" t="s">
        <v>104</v>
      </c>
      <c r="M33" s="28" t="s">
        <v>634</v>
      </c>
    </row>
    <row r="34" spans="1:13" ht="127.5">
      <c r="A34" s="41"/>
      <c r="B34" s="720" t="s">
        <v>147</v>
      </c>
      <c r="C34" s="636"/>
      <c r="D34" s="408"/>
      <c r="E34" s="409">
        <f>2600*1.11</f>
        <v>2886.0000000000005</v>
      </c>
      <c r="F34" s="410"/>
      <c r="G34" s="224" t="s">
        <v>183</v>
      </c>
      <c r="H34" s="706" t="s">
        <v>1193</v>
      </c>
      <c r="I34" s="665"/>
      <c r="J34" s="84"/>
      <c r="K34" s="706"/>
      <c r="L34" s="722"/>
      <c r="M34" s="56"/>
    </row>
    <row r="35" spans="1:13" ht="63.75">
      <c r="A35" s="41"/>
      <c r="B35" s="625" t="s">
        <v>254</v>
      </c>
      <c r="C35" s="636"/>
      <c r="D35" s="403"/>
      <c r="E35" s="404"/>
      <c r="F35" s="405"/>
      <c r="G35" s="192" t="s">
        <v>176</v>
      </c>
      <c r="H35" s="590"/>
      <c r="I35" s="522"/>
      <c r="J35" s="81"/>
      <c r="K35" s="590" t="s">
        <v>1064</v>
      </c>
      <c r="L35" s="603" t="s">
        <v>100</v>
      </c>
      <c r="M35" s="24" t="s">
        <v>1064</v>
      </c>
    </row>
    <row r="36" spans="1:13" ht="63.75">
      <c r="A36" s="42"/>
      <c r="B36" s="625" t="s">
        <v>628</v>
      </c>
      <c r="C36" s="636"/>
      <c r="D36" s="382"/>
      <c r="E36" s="394"/>
      <c r="F36" s="393"/>
      <c r="G36" s="192" t="s">
        <v>630</v>
      </c>
      <c r="H36" s="590"/>
      <c r="I36" s="522"/>
      <c r="J36" s="81"/>
      <c r="K36" s="590"/>
      <c r="L36" s="603" t="s">
        <v>89</v>
      </c>
      <c r="M36" s="24" t="s">
        <v>635</v>
      </c>
    </row>
    <row r="37" spans="1:13" ht="63.75">
      <c r="A37" s="42"/>
      <c r="B37" s="625" t="s">
        <v>289</v>
      </c>
      <c r="C37" s="636"/>
      <c r="D37" s="382"/>
      <c r="E37" s="394"/>
      <c r="F37" s="393"/>
      <c r="G37" s="192" t="s">
        <v>630</v>
      </c>
      <c r="H37" s="590"/>
      <c r="I37" s="522"/>
      <c r="J37" s="81"/>
      <c r="K37" s="590"/>
      <c r="L37" s="603" t="s">
        <v>103</v>
      </c>
      <c r="M37" s="24" t="s">
        <v>101</v>
      </c>
    </row>
    <row r="38" spans="1:13" ht="63.75">
      <c r="A38" s="42"/>
      <c r="B38" s="625" t="s">
        <v>290</v>
      </c>
      <c r="C38" s="522"/>
      <c r="D38" s="420"/>
      <c r="E38" s="421"/>
      <c r="F38" s="422"/>
      <c r="G38" s="192" t="s">
        <v>630</v>
      </c>
      <c r="H38" s="590"/>
      <c r="I38" s="522"/>
      <c r="J38" s="81"/>
      <c r="K38" s="590"/>
      <c r="L38" s="603" t="s">
        <v>940</v>
      </c>
      <c r="M38" s="24" t="s">
        <v>102</v>
      </c>
    </row>
    <row r="39" spans="1:13" ht="45.75" customHeight="1">
      <c r="A39" s="41"/>
      <c r="B39" s="625" t="s">
        <v>21</v>
      </c>
      <c r="C39" s="726"/>
      <c r="D39" s="423"/>
      <c r="E39" s="424"/>
      <c r="F39" s="425"/>
      <c r="G39" s="192" t="s">
        <v>176</v>
      </c>
      <c r="H39" s="590"/>
      <c r="I39" s="522"/>
      <c r="J39" s="81"/>
      <c r="K39" s="590"/>
      <c r="L39" s="603" t="s">
        <v>89</v>
      </c>
      <c r="M39" s="24" t="s">
        <v>20</v>
      </c>
    </row>
    <row r="40" spans="1:13" ht="76.5">
      <c r="A40" s="41"/>
      <c r="B40" s="625" t="s">
        <v>629</v>
      </c>
      <c r="C40" s="636"/>
      <c r="D40" s="382"/>
      <c r="E40" s="394">
        <f>353.51*1.11</f>
        <v>392.39610000000005</v>
      </c>
      <c r="F40" s="393"/>
      <c r="G40" s="192" t="s">
        <v>631</v>
      </c>
      <c r="H40" s="590" t="s">
        <v>1192</v>
      </c>
      <c r="I40" s="522"/>
      <c r="J40" s="81"/>
      <c r="K40" s="590"/>
      <c r="L40" s="656"/>
      <c r="M40" s="23"/>
    </row>
    <row r="41" spans="1:13" ht="25.5">
      <c r="A41" s="41"/>
      <c r="B41" s="625" t="s">
        <v>255</v>
      </c>
      <c r="C41" s="636"/>
      <c r="D41" s="382"/>
      <c r="E41" s="394"/>
      <c r="F41" s="393"/>
      <c r="G41" s="192" t="s">
        <v>182</v>
      </c>
      <c r="H41" s="590"/>
      <c r="I41" s="522"/>
      <c r="J41" s="81" t="s">
        <v>564</v>
      </c>
      <c r="K41" s="590"/>
      <c r="L41" s="603" t="s">
        <v>112</v>
      </c>
      <c r="M41" s="24" t="s">
        <v>636</v>
      </c>
    </row>
    <row r="42" spans="1:13" ht="90" thickBot="1">
      <c r="A42" s="54"/>
      <c r="B42" s="624" t="s">
        <v>256</v>
      </c>
      <c r="C42" s="644"/>
      <c r="D42" s="482">
        <f>1878*1.7</f>
        <v>3192.6</v>
      </c>
      <c r="E42" s="483"/>
      <c r="F42" s="484"/>
      <c r="G42" s="645" t="s">
        <v>631</v>
      </c>
      <c r="H42" s="646" t="s">
        <v>1072</v>
      </c>
      <c r="I42" s="670"/>
      <c r="J42" s="671" t="s">
        <v>564</v>
      </c>
      <c r="K42" s="646"/>
      <c r="L42" s="654"/>
      <c r="M42" s="28" t="s">
        <v>1118</v>
      </c>
    </row>
    <row r="43" spans="1:13">
      <c r="D43" s="275">
        <f>SUM(D32:D42)</f>
        <v>6208.6</v>
      </c>
      <c r="E43" s="396">
        <f>SUM(E32:E42)</f>
        <v>23948.396100000002</v>
      </c>
      <c r="F43" s="276">
        <f>SUM(F32:F42)</f>
        <v>0</v>
      </c>
    </row>
    <row r="44" spans="1:13" ht="15.75" thickBot="1">
      <c r="D44" s="203" t="s">
        <v>360</v>
      </c>
      <c r="E44" s="204" t="s">
        <v>361</v>
      </c>
      <c r="F44" s="205" t="s">
        <v>362</v>
      </c>
    </row>
    <row r="46" spans="1:13" s="1059" customFormat="1" ht="12.75">
      <c r="A46" s="1062" t="s">
        <v>546</v>
      </c>
      <c r="B46" s="1062"/>
      <c r="C46" s="1060"/>
      <c r="D46" s="1060"/>
      <c r="E46" s="1060"/>
      <c r="F46" s="1060"/>
      <c r="G46" s="1062"/>
      <c r="H46" s="1062"/>
      <c r="I46" s="1062"/>
      <c r="J46" s="1062"/>
      <c r="K46" s="1062"/>
      <c r="L46" s="1062"/>
      <c r="M46" s="1062"/>
    </row>
    <row r="47" spans="1:13" s="1059" customFormat="1" ht="12.75">
      <c r="A47" s="1062" t="s">
        <v>938</v>
      </c>
      <c r="B47" s="1062"/>
      <c r="C47" s="1060"/>
      <c r="D47" s="1060"/>
      <c r="E47" s="1060"/>
      <c r="F47" s="1060"/>
      <c r="G47" s="1062"/>
      <c r="H47" s="1062"/>
      <c r="I47" s="1062"/>
      <c r="J47" s="1062"/>
      <c r="K47" s="1062"/>
      <c r="L47" s="1062"/>
      <c r="M47" s="1062"/>
    </row>
    <row r="48" spans="1:13" s="1059" customFormat="1" ht="12.75">
      <c r="A48" s="1062" t="s">
        <v>668</v>
      </c>
      <c r="B48" s="1062"/>
      <c r="C48" s="1060"/>
      <c r="D48" s="1060"/>
      <c r="E48" s="1060"/>
      <c r="F48" s="1060"/>
      <c r="G48" s="1062"/>
      <c r="H48" s="1062"/>
      <c r="I48" s="1062"/>
      <c r="J48" s="1062"/>
      <c r="K48" s="1062"/>
      <c r="L48" s="1062"/>
      <c r="M48" s="1062"/>
    </row>
    <row r="49" spans="1:13" s="1059" customFormat="1" ht="12.75">
      <c r="A49" s="1062" t="s">
        <v>535</v>
      </c>
      <c r="B49" s="1062"/>
      <c r="C49" s="1060"/>
      <c r="D49" s="1060"/>
      <c r="E49" s="1060"/>
      <c r="F49" s="1060"/>
      <c r="G49" s="1062"/>
      <c r="H49" s="1062"/>
      <c r="I49" s="1062"/>
      <c r="J49" s="1062"/>
      <c r="K49" s="1062"/>
      <c r="L49" s="1062"/>
      <c r="M49" s="1062"/>
    </row>
    <row r="50" spans="1:13" s="1059" customFormat="1" ht="12.75">
      <c r="A50" s="1062" t="s">
        <v>673</v>
      </c>
      <c r="B50" s="1062"/>
      <c r="C50" s="1060"/>
      <c r="D50" s="1060"/>
      <c r="E50" s="1060"/>
      <c r="F50" s="1060"/>
      <c r="G50" s="1062"/>
      <c r="H50" s="1062"/>
      <c r="I50" s="1062"/>
      <c r="J50" s="1062"/>
      <c r="K50" s="1062"/>
      <c r="L50" s="1062"/>
      <c r="M50" s="1062"/>
    </row>
    <row r="51" spans="1:13" s="1059" customFormat="1" ht="12.75">
      <c r="A51" s="1062" t="s">
        <v>547</v>
      </c>
      <c r="B51" s="1062"/>
      <c r="C51" s="1060"/>
      <c r="D51" s="1060"/>
      <c r="E51" s="1060"/>
      <c r="F51" s="1060"/>
      <c r="G51" s="1062"/>
      <c r="H51" s="1062"/>
      <c r="I51" s="1062"/>
      <c r="J51" s="1062"/>
      <c r="K51" s="1062"/>
      <c r="L51" s="1062"/>
      <c r="M51" s="1062"/>
    </row>
  </sheetData>
  <mergeCells count="9">
    <mergeCell ref="C30:H30"/>
    <mergeCell ref="I30:K30"/>
    <mergeCell ref="A1:B1"/>
    <mergeCell ref="L1:M1"/>
    <mergeCell ref="A10:B10"/>
    <mergeCell ref="C10:K10"/>
    <mergeCell ref="L10:M10"/>
    <mergeCell ref="C11:H11"/>
    <mergeCell ref="I11:K11"/>
  </mergeCells>
  <pageMargins left="0.7" right="0.7" top="0.75" bottom="0.75" header="0.3" footer="0.3"/>
  <pageSetup paperSize="9" scale="38" orientation="portrait" horizontalDpi="4294967294" verticalDpi="1200" r:id="rId1"/>
  <drawing r:id="rId2"/>
  <legacyDrawing r:id="rId3"/>
</worksheet>
</file>

<file path=docMetadata/LabelInfo.xml><?xml version="1.0" encoding="utf-8"?>
<clbl:labelList xmlns:clbl="http://schemas.microsoft.com/office/2020/mipLabelMetadata">
  <clbl:label id="{adaa4be3-f650-4692-881a-64ae220cbceb}"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Header</vt:lpstr>
      <vt:lpstr>Acknowledgements</vt:lpstr>
      <vt:lpstr>Tool Intro</vt:lpstr>
      <vt:lpstr>DOMAIN WORKSHEETS</vt:lpstr>
      <vt:lpstr>D1 Community Worksheet</vt:lpstr>
      <vt:lpstr>D2 Community Dashboard</vt:lpstr>
      <vt:lpstr>D2 Economy Worksheet</vt:lpstr>
      <vt:lpstr> D2 Economy Dashboard</vt:lpstr>
      <vt:lpstr>D3 Education Worksheet</vt:lpstr>
      <vt:lpstr>D3 Education Dashboard</vt:lpstr>
      <vt:lpstr>D4 Employment Worksheet</vt:lpstr>
      <vt:lpstr>D4 Employment Dashboard</vt:lpstr>
      <vt:lpstr>D5 Environment Worksheet</vt:lpstr>
      <vt:lpstr> D5 Environment Dashboard</vt:lpstr>
      <vt:lpstr>D6 Health Wellbeing Worksheet</vt:lpstr>
      <vt:lpstr>D6 Health Wellbeing Dashboard</vt:lpstr>
      <vt:lpstr>D7 Housing Worksheet</vt:lpstr>
      <vt:lpstr>D7 Housing Dashboard</vt:lpstr>
      <vt:lpstr>D8 Social Engagement Worksheet </vt:lpstr>
      <vt:lpstr>D8 Social Engagement Dashboard</vt:lpstr>
      <vt:lpstr>D9 Urban Amenity Worksheet</vt:lpstr>
      <vt:lpstr>D9 Urban Amenity Dashboard</vt:lpstr>
      <vt:lpstr>CONTEXT WORKSHEETS</vt:lpstr>
      <vt:lpstr>Narratives</vt:lpstr>
      <vt:lpstr>Narratives Dashboard</vt:lpstr>
      <vt:lpstr>Network engagement</vt:lpstr>
      <vt:lpstr>Network dashboard</vt:lpstr>
      <vt:lpstr>Innovation</vt:lpstr>
      <vt:lpstr>Innovation Dashboard</vt:lpstr>
      <vt:lpstr>FUNDING SCENARIO</vt:lpstr>
      <vt:lpstr>Funding Dashboard</vt:lpstr>
      <vt:lpstr>C1 Built Form</vt:lpstr>
      <vt:lpstr>Built form dashboard</vt:lpstr>
      <vt:lpstr>C2 Household</vt:lpstr>
      <vt:lpstr>Household dashboard</vt:lpstr>
      <vt:lpstr>C3 Connections</vt:lpstr>
      <vt:lpstr>Connections dashboard</vt:lpstr>
      <vt:lpstr>C4 Interactions</vt:lpstr>
      <vt:lpstr>Interactions Dashboard</vt:lpstr>
      <vt:lpstr>'Network engagement'!Print_Area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Kraatz</dc:creator>
  <cp:lastModifiedBy>Dani Murray</cp:lastModifiedBy>
  <cp:lastPrinted>2022-11-21T00:54:23Z</cp:lastPrinted>
  <dcterms:created xsi:type="dcterms:W3CDTF">2021-10-11T00:30:24Z</dcterms:created>
  <dcterms:modified xsi:type="dcterms:W3CDTF">2023-04-05T04:31:56Z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aa4be3-f650-4692-881a-64ae220cbceb_Enabled">
    <vt:lpwstr>true</vt:lpwstr>
  </property>
  <property fmtid="{D5CDD505-2E9C-101B-9397-08002B2CF9AE}" pid="3" name="MSIP_Label_adaa4be3-f650-4692-881a-64ae220cbceb_SetDate">
    <vt:lpwstr>2022-11-20T22:17:54Z</vt:lpwstr>
  </property>
  <property fmtid="{D5CDD505-2E9C-101B-9397-08002B2CF9AE}" pid="4" name="MSIP_Label_adaa4be3-f650-4692-881a-64ae220cbceb_Method">
    <vt:lpwstr>Standard</vt:lpwstr>
  </property>
  <property fmtid="{D5CDD505-2E9C-101B-9397-08002B2CF9AE}" pid="5" name="MSIP_Label_adaa4be3-f650-4692-881a-64ae220cbceb_Name">
    <vt:lpwstr>OFFICIAL  Internal (External sharing)</vt:lpwstr>
  </property>
  <property fmtid="{D5CDD505-2E9C-101B-9397-08002B2CF9AE}" pid="6" name="MSIP_Label_adaa4be3-f650-4692-881a-64ae220cbceb_SiteId">
    <vt:lpwstr>5a7cc8ab-a4dc-4f9b-bf60-66714049ad62</vt:lpwstr>
  </property>
  <property fmtid="{D5CDD505-2E9C-101B-9397-08002B2CF9AE}" pid="7" name="MSIP_Label_adaa4be3-f650-4692-881a-64ae220cbceb_ActionId">
    <vt:lpwstr>b74ca46d-1848-42bf-996d-27efaf201ce2</vt:lpwstr>
  </property>
  <property fmtid="{D5CDD505-2E9C-101B-9397-08002B2CF9AE}" pid="8" name="MSIP_Label_adaa4be3-f650-4692-881a-64ae220cbceb_ContentBits">
    <vt:lpwstr>0</vt:lpwstr>
  </property>
</Properties>
</file>